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92.168.0.5\tecnico1\TRABALHOS\ANDAMENTO\2268-MA-TIM-SEM-PLATR\03-PRODUTOS\03.3-ATUALIZAÇÃO DO EDITAL DE PERMISSÃO\03.1.1-ANDAMENTO\ENVIAR - REV 26102023\"/>
    </mc:Choice>
  </mc:AlternateContent>
  <xr:revisionPtr revIDLastSave="0" documentId="13_ncr:1_{DED993F0-1FFD-449D-B9D8-AD624BA975F6}" xr6:coauthVersionLast="47" xr6:coauthVersionMax="47" xr10:uidLastSave="{00000000-0000-0000-0000-000000000000}"/>
  <bookViews>
    <workbookView xWindow="-28920" yWindow="-4785" windowWidth="29040" windowHeight="15840" tabRatio="583" activeTab="6" xr2:uid="{00000000-000D-0000-FFFF-FFFF00000000}"/>
  </bookViews>
  <sheets>
    <sheet name="1_Demanda" sheetId="47" r:id="rId1"/>
    <sheet name="2.1_Dados_SUI.1" sheetId="30" r:id="rId2"/>
    <sheet name="2.2_Dados_URBI.1" sheetId="31" r:id="rId3"/>
    <sheet name="3.1_Tarifa_SUI.1.10" sheetId="44" r:id="rId4"/>
    <sheet name="3.2_Tarifa_URBI.1.10" sheetId="45" r:id="rId5"/>
    <sheet name="4.Tarifa_Pública_Final" sheetId="46" r:id="rId6"/>
    <sheet name="5.Receitas_Estimadas" sheetId="49" r:id="rId7"/>
  </sheets>
  <definedNames>
    <definedName name="_xlnm.Print_Area" localSheetId="3">'3.1_Tarifa_SUI.1.10'!$A$1:$H$79</definedName>
    <definedName name="_xlnm.Print_Area" localSheetId="4">'3.2_Tarifa_URBI.1.10'!$A$1:$H$78</definedName>
    <definedName name="Print_Area" localSheetId="3">'3.1_Tarifa_SUI.1.10'!$A$1:$H$80</definedName>
    <definedName name="Print_Area" localSheetId="4">'3.2_Tarifa_URBI.1.10'!$A$1:$H$79</definedName>
  </definedNames>
  <calcPr calcId="191029"/>
</workbook>
</file>

<file path=xl/calcChain.xml><?xml version="1.0" encoding="utf-8"?>
<calcChain xmlns="http://schemas.openxmlformats.org/spreadsheetml/2006/main">
  <c r="C2" i="49" l="1"/>
  <c r="B18" i="49"/>
  <c r="L17" i="49"/>
  <c r="K17" i="49"/>
  <c r="J17" i="49"/>
  <c r="I17" i="49"/>
  <c r="H17" i="49"/>
  <c r="G17" i="49"/>
  <c r="F17" i="49"/>
  <c r="E17" i="49"/>
  <c r="D17" i="49"/>
  <c r="C17" i="49"/>
  <c r="B6" i="49"/>
  <c r="C5" i="49"/>
  <c r="D5" i="49" s="1"/>
  <c r="C27" i="31"/>
  <c r="C28" i="31"/>
  <c r="C25" i="31"/>
  <c r="C26" i="31"/>
  <c r="C23" i="31"/>
  <c r="C24" i="31"/>
  <c r="C22" i="31"/>
  <c r="C19" i="30"/>
  <c r="C20" i="30"/>
  <c r="C18" i="30"/>
  <c r="D29" i="31"/>
  <c r="D30" i="31" s="1"/>
  <c r="E5" i="49" l="1"/>
  <c r="D6" i="49"/>
  <c r="C6" i="49"/>
  <c r="C29" i="31"/>
  <c r="L8" i="30"/>
  <c r="E6" i="49" l="1"/>
  <c r="F5" i="49"/>
  <c r="P8" i="30"/>
  <c r="J8" i="30"/>
  <c r="G16" i="44"/>
  <c r="F6" i="49" l="1"/>
  <c r="G5" i="49"/>
  <c r="L14" i="31"/>
  <c r="J14" i="31"/>
  <c r="K14" i="31" s="1"/>
  <c r="N14" i="31" s="1"/>
  <c r="L13" i="31"/>
  <c r="J13" i="31"/>
  <c r="M13" i="31" s="1"/>
  <c r="L12" i="31"/>
  <c r="J12" i="31"/>
  <c r="M12" i="31" s="1"/>
  <c r="L11" i="31"/>
  <c r="J11" i="31"/>
  <c r="K11" i="31" s="1"/>
  <c r="N11" i="31" s="1"/>
  <c r="G6" i="49" l="1"/>
  <c r="H5" i="49"/>
  <c r="M14" i="31"/>
  <c r="M11" i="31"/>
  <c r="K12" i="31"/>
  <c r="N12" i="31" s="1"/>
  <c r="K13" i="31"/>
  <c r="N13" i="31" s="1"/>
  <c r="H6" i="49" l="1"/>
  <c r="I5" i="49"/>
  <c r="J10" i="31"/>
  <c r="K10" i="31" s="1"/>
  <c r="J5" i="49" l="1"/>
  <c r="I6" i="49"/>
  <c r="D21" i="44"/>
  <c r="C21" i="30"/>
  <c r="B5" i="44" s="1"/>
  <c r="J6" i="49" l="1"/>
  <c r="K5" i="49"/>
  <c r="B5" i="45"/>
  <c r="G2" i="46" s="1"/>
  <c r="L5" i="49" l="1"/>
  <c r="L6" i="49" s="1"/>
  <c r="K6" i="49"/>
  <c r="D62" i="45"/>
  <c r="D62" i="44"/>
  <c r="D21" i="45"/>
  <c r="G21" i="45" l="1"/>
  <c r="G20" i="45" l="1"/>
  <c r="D72" i="45" l="1"/>
  <c r="C51" i="45"/>
  <c r="G25" i="45"/>
  <c r="G24" i="45"/>
  <c r="G18" i="45"/>
  <c r="G17" i="45"/>
  <c r="G16" i="45"/>
  <c r="H9" i="45"/>
  <c r="H6" i="45"/>
  <c r="H7" i="45" s="1"/>
  <c r="D73" i="44"/>
  <c r="C51" i="44"/>
  <c r="G25" i="44"/>
  <c r="G24" i="44"/>
  <c r="G21" i="44"/>
  <c r="G20" i="44" s="1"/>
  <c r="G18" i="44"/>
  <c r="G17" i="44"/>
  <c r="H9" i="44"/>
  <c r="H6" i="44"/>
  <c r="H7" i="44" s="1"/>
  <c r="G23" i="44" l="1"/>
  <c r="G23" i="45"/>
  <c r="G15" i="44"/>
  <c r="G15" i="45"/>
  <c r="F34" i="45"/>
  <c r="F34" i="44"/>
  <c r="E36" i="44" s="1"/>
  <c r="E36" i="45" l="1"/>
  <c r="J8" i="31" l="1"/>
  <c r="K8" i="31" s="1"/>
  <c r="N8" i="31" s="1"/>
  <c r="R8" i="31" s="1"/>
  <c r="L8" i="31"/>
  <c r="P8" i="31" s="1"/>
  <c r="J9" i="31"/>
  <c r="M9" i="31" s="1"/>
  <c r="L9" i="31"/>
  <c r="P9" i="31" s="1"/>
  <c r="M10" i="31"/>
  <c r="L10" i="31"/>
  <c r="P10" i="31" s="1"/>
  <c r="P11" i="31"/>
  <c r="P12" i="31"/>
  <c r="P13" i="31"/>
  <c r="P14" i="31"/>
  <c r="M8" i="31" l="1"/>
  <c r="Q8" i="31" s="1"/>
  <c r="S8" i="31" s="1"/>
  <c r="Q14" i="31"/>
  <c r="Q13" i="31"/>
  <c r="Q12" i="31"/>
  <c r="Q11" i="31"/>
  <c r="Q10" i="31"/>
  <c r="Q9" i="31"/>
  <c r="K9" i="31"/>
  <c r="R14" i="31" l="1"/>
  <c r="S14" i="31" s="1"/>
  <c r="R12" i="31"/>
  <c r="S12" i="31" s="1"/>
  <c r="N9" i="31"/>
  <c r="R9" i="31" s="1"/>
  <c r="S9" i="31" s="1"/>
  <c r="N10" i="31"/>
  <c r="R10" i="31" s="1"/>
  <c r="S10" i="31" s="1"/>
  <c r="R13" i="31"/>
  <c r="S13" i="31" s="1"/>
  <c r="R11" i="31"/>
  <c r="S11" i="31" s="1"/>
  <c r="S15" i="31" l="1"/>
  <c r="B3" i="45" s="1"/>
  <c r="D21" i="30"/>
  <c r="D22" i="30" s="1"/>
  <c r="L10" i="30"/>
  <c r="P10" i="30" s="1"/>
  <c r="J10" i="30"/>
  <c r="M10" i="30" s="1"/>
  <c r="L9" i="30"/>
  <c r="P9" i="30" s="1"/>
  <c r="J9" i="30"/>
  <c r="M9" i="30" s="1"/>
  <c r="M8" i="30"/>
  <c r="B4" i="45" l="1"/>
  <c r="B4" i="44"/>
  <c r="K8" i="30"/>
  <c r="N8" i="30" s="1"/>
  <c r="Q8" i="30"/>
  <c r="K9" i="30"/>
  <c r="Q9" i="30"/>
  <c r="K10" i="30"/>
  <c r="Q10" i="30"/>
  <c r="G3" i="46" l="1"/>
  <c r="G4" i="46" s="1"/>
  <c r="J4" i="46" s="1"/>
  <c r="N10" i="30"/>
  <c r="R10" i="30" s="1"/>
  <c r="S10" i="30" s="1"/>
  <c r="N9" i="30"/>
  <c r="R9" i="30" s="1"/>
  <c r="S9" i="30" s="1"/>
  <c r="R8" i="30"/>
  <c r="S8" i="30" s="1"/>
  <c r="J3" i="46" l="1"/>
  <c r="J2" i="46"/>
  <c r="M2" i="46" s="1"/>
  <c r="S11" i="30"/>
  <c r="B3" i="44" s="1"/>
  <c r="G29" i="44" l="1"/>
  <c r="G13" i="44" s="1"/>
  <c r="M3" i="46"/>
  <c r="M4" i="46" s="1"/>
  <c r="G41" i="45"/>
  <c r="G29" i="45"/>
  <c r="G13" i="45" s="1"/>
  <c r="G63" i="44"/>
  <c r="G64" i="44"/>
  <c r="G52" i="44"/>
  <c r="G53" i="44"/>
  <c r="G48" i="44"/>
  <c r="G54" i="44"/>
  <c r="G60" i="44"/>
  <c r="G50" i="44"/>
  <c r="G51" i="44"/>
  <c r="G47" i="44"/>
  <c r="G58" i="44"/>
  <c r="F58" i="44" s="1"/>
  <c r="G42" i="44"/>
  <c r="G61" i="44"/>
  <c r="G49" i="44"/>
  <c r="G41" i="44"/>
  <c r="G62" i="44"/>
  <c r="G34" i="44"/>
  <c r="G43" i="44"/>
  <c r="G38" i="44"/>
  <c r="G60" i="45" l="1"/>
  <c r="G38" i="45"/>
  <c r="G52" i="45"/>
  <c r="G58" i="45"/>
  <c r="F58" i="45" s="1"/>
  <c r="G54" i="45"/>
  <c r="G42" i="45"/>
  <c r="G51" i="45"/>
  <c r="G49" i="45"/>
  <c r="G62" i="45"/>
  <c r="G43" i="45"/>
  <c r="G63" i="45"/>
  <c r="G34" i="45"/>
  <c r="G48" i="45"/>
  <c r="G53" i="45"/>
  <c r="G61" i="45"/>
  <c r="G47" i="45"/>
  <c r="G50" i="45"/>
  <c r="G33" i="44"/>
  <c r="G40" i="44"/>
  <c r="G46" i="44"/>
  <c r="G46" i="45" l="1"/>
  <c r="F59" i="45" s="1"/>
  <c r="G33" i="45"/>
  <c r="G40" i="45"/>
  <c r="G59" i="44"/>
  <c r="G56" i="44" s="1"/>
  <c r="F59" i="44"/>
  <c r="G59" i="45" l="1"/>
  <c r="G56" i="45" s="1"/>
  <c r="G31" i="44"/>
  <c r="G31" i="45" l="1"/>
  <c r="G73" i="44"/>
  <c r="G72" i="45" l="1"/>
  <c r="G67" i="44"/>
  <c r="G66" i="45" l="1"/>
  <c r="G76" i="44"/>
  <c r="H63" i="44" s="1"/>
  <c r="G75" i="45" l="1"/>
  <c r="H16" i="44"/>
  <c r="H23" i="44"/>
  <c r="H20" i="44"/>
  <c r="H18" i="44"/>
  <c r="H17" i="44"/>
  <c r="G77" i="44"/>
  <c r="G79" i="44" s="1"/>
  <c r="H15" i="44"/>
  <c r="H24" i="44"/>
  <c r="H13" i="44"/>
  <c r="H29" i="44"/>
  <c r="H21" i="44"/>
  <c r="H25" i="44"/>
  <c r="H61" i="44"/>
  <c r="H60" i="44"/>
  <c r="H43" i="44"/>
  <c r="H50" i="44"/>
  <c r="H54" i="44"/>
  <c r="H58" i="44"/>
  <c r="H38" i="44"/>
  <c r="H47" i="44"/>
  <c r="H51" i="44"/>
  <c r="H48" i="44"/>
  <c r="H52" i="44"/>
  <c r="H64" i="44"/>
  <c r="H49" i="44"/>
  <c r="H34" i="44"/>
  <c r="H41" i="44"/>
  <c r="H42" i="44"/>
  <c r="H62" i="44"/>
  <c r="H53" i="44"/>
  <c r="H33" i="44"/>
  <c r="H46" i="44"/>
  <c r="H40" i="44"/>
  <c r="H59" i="44"/>
  <c r="H56" i="44"/>
  <c r="H31" i="44"/>
  <c r="H73" i="44"/>
  <c r="H67" i="44"/>
  <c r="B3" i="46" l="1"/>
  <c r="D3" i="46" s="1"/>
  <c r="C14" i="49"/>
  <c r="H21" i="45"/>
  <c r="H20" i="45"/>
  <c r="G76" i="45"/>
  <c r="G78" i="45" s="1"/>
  <c r="H24" i="45"/>
  <c r="H18" i="45"/>
  <c r="H17" i="45"/>
  <c r="H16" i="45"/>
  <c r="H23" i="45"/>
  <c r="H15" i="45"/>
  <c r="H29" i="45"/>
  <c r="H13" i="45"/>
  <c r="H25" i="45"/>
  <c r="H51" i="45"/>
  <c r="H62" i="45"/>
  <c r="H38" i="45"/>
  <c r="H43" i="45"/>
  <c r="H49" i="45"/>
  <c r="H58" i="45"/>
  <c r="H63" i="45"/>
  <c r="H61" i="45"/>
  <c r="H48" i="45"/>
  <c r="H60" i="45"/>
  <c r="H54" i="45"/>
  <c r="H41" i="45"/>
  <c r="H42" i="45"/>
  <c r="H52" i="45"/>
  <c r="H34" i="45"/>
  <c r="H53" i="45"/>
  <c r="H50" i="45"/>
  <c r="H47" i="45"/>
  <c r="H40" i="45"/>
  <c r="H33" i="45"/>
  <c r="H46" i="45"/>
  <c r="H59" i="45"/>
  <c r="H56" i="45"/>
  <c r="H31" i="45"/>
  <c r="H72" i="45"/>
  <c r="H66" i="45"/>
  <c r="F19" i="49" l="1"/>
  <c r="E19" i="49"/>
  <c r="L19" i="49"/>
  <c r="D19" i="49"/>
  <c r="H19" i="49"/>
  <c r="B19" i="49"/>
  <c r="I19" i="49"/>
  <c r="C19" i="49"/>
  <c r="G19" i="49"/>
  <c r="J19" i="49"/>
  <c r="K19" i="49"/>
  <c r="B2" i="46"/>
  <c r="D2" i="46" s="1"/>
  <c r="D4" i="46" s="1"/>
  <c r="P2" i="46" s="1"/>
  <c r="P3" i="46" s="1"/>
  <c r="Q3" i="46" s="1"/>
  <c r="M19" i="49" l="1"/>
  <c r="Q2" i="46"/>
  <c r="Q4" i="46" s="1"/>
  <c r="B7" i="49"/>
  <c r="D7" i="49"/>
  <c r="C7" i="49"/>
  <c r="E7" i="49"/>
  <c r="F7" i="49"/>
  <c r="G7" i="49"/>
  <c r="H7" i="49"/>
  <c r="I7" i="49"/>
  <c r="J7" i="49"/>
  <c r="L7" i="49"/>
  <c r="K7" i="49"/>
  <c r="P4" i="46"/>
  <c r="M20" i="49" l="1"/>
  <c r="M21" i="49"/>
  <c r="M7" i="49"/>
  <c r="M8" i="49" l="1"/>
  <c r="M9" i="49"/>
</calcChain>
</file>

<file path=xl/sharedStrings.xml><?xml version="1.0" encoding="utf-8"?>
<sst xmlns="http://schemas.openxmlformats.org/spreadsheetml/2006/main" count="392" uniqueCount="164">
  <si>
    <t>PMA [km / (veíc x ano)]</t>
  </si>
  <si>
    <t>Veíc. Pad. com Rodagem</t>
  </si>
  <si>
    <t>Veíc. Pad. sem Rodagem</t>
  </si>
  <si>
    <t>Estudantes (%)</t>
  </si>
  <si>
    <t xml:space="preserve">               INSUMOS</t>
  </si>
  <si>
    <t>PARÂMETROS BÁSICOS</t>
  </si>
  <si>
    <t>PREÇOS DOS</t>
  </si>
  <si>
    <t>CUSTO</t>
  </si>
  <si>
    <t>% TOTAL</t>
  </si>
  <si>
    <t>INSUMOS</t>
  </si>
  <si>
    <t>(R$ / Km)</t>
  </si>
  <si>
    <t>1. CUSTOS VARIÁVEIS</t>
  </si>
  <si>
    <t>R$ / unid</t>
  </si>
  <si>
    <t>1.1. COMBUSTÍVEL (Diesel)</t>
  </si>
  <si>
    <t>L / km</t>
  </si>
  <si>
    <t>1.2. LUBRIFICANTES</t>
  </si>
  <si>
    <t>1.3. RODAGEM</t>
  </si>
  <si>
    <t>Número de recapagens</t>
  </si>
  <si>
    <t>Vida útil Pneu (275/80 R22,5)</t>
  </si>
  <si>
    <t xml:space="preserve">Km </t>
  </si>
  <si>
    <t>Vida útil Câmara</t>
  </si>
  <si>
    <t>Vida útil Protetor</t>
  </si>
  <si>
    <t>1.4. PEÇAS E ACESSÓRIOS</t>
  </si>
  <si>
    <t xml:space="preserve">2. CUSTOS FIXOS </t>
  </si>
  <si>
    <t>2.1. DEPRECIAÇÃO</t>
  </si>
  <si>
    <t>Veículo: ônibus sem rodagem</t>
  </si>
  <si>
    <t>Vida útil (anos):</t>
  </si>
  <si>
    <t>Valor residual (%):</t>
  </si>
  <si>
    <t>Instalações e equipamentos</t>
  </si>
  <si>
    <t>Investimento (%):</t>
  </si>
  <si>
    <t>2.2. REMUNERAÇÃO</t>
  </si>
  <si>
    <t>2.2.1. Veículo</t>
  </si>
  <si>
    <t>Idade Média da frota (anos):</t>
  </si>
  <si>
    <t>2.2.2. Almoxarifado</t>
  </si>
  <si>
    <t>2.2.3. Instalações e equipamentos</t>
  </si>
  <si>
    <t>Taxa de rem. (% ao ano):</t>
  </si>
  <si>
    <t>2.3. MÃO-DE-OBRA</t>
  </si>
  <si>
    <t>F.U.</t>
  </si>
  <si>
    <t>Coef. Enc.Sociais</t>
  </si>
  <si>
    <t>Produtividade</t>
  </si>
  <si>
    <t>Salário</t>
  </si>
  <si>
    <t xml:space="preserve">2.3.1. Motorista </t>
  </si>
  <si>
    <t xml:space="preserve">2.3.2. Cobrador </t>
  </si>
  <si>
    <t>2.3.3. Fiscal</t>
  </si>
  <si>
    <t>R$/mês</t>
  </si>
  <si>
    <t>R$ / (func x mês)</t>
  </si>
  <si>
    <t>R$ / (func x dia)</t>
  </si>
  <si>
    <t>2.4. ADMINISTRAÇÃO</t>
  </si>
  <si>
    <t>2.4.1. Administração</t>
  </si>
  <si>
    <t>R$ / (veíc x mês)</t>
  </si>
  <si>
    <t>2.4.2. Pessoal de administrativo</t>
  </si>
  <si>
    <t xml:space="preserve">2.4.3. Seguro Obrig./Licenciamento </t>
  </si>
  <si>
    <t>R$ / (veíc x ano)</t>
  </si>
  <si>
    <t>2.4.4. Seguro Responsab. Civil</t>
  </si>
  <si>
    <t xml:space="preserve">3. TRIBUTAÇÃO </t>
  </si>
  <si>
    <t>Alíquotas (%)</t>
  </si>
  <si>
    <t>3.1. ICMS</t>
  </si>
  <si>
    <t>Total</t>
  </si>
  <si>
    <t>Receitas Complementares (%)</t>
  </si>
  <si>
    <t>3.4. Contrib.Social Lei 12.715/2012</t>
  </si>
  <si>
    <t>Aditivo (ARLA)</t>
  </si>
  <si>
    <t>...</t>
  </si>
  <si>
    <t>Diesel (com AR)</t>
  </si>
  <si>
    <t>2.3.4. Manutenção</t>
  </si>
  <si>
    <t>2.3.9. Contrib.Social Lei 12.715/2012</t>
  </si>
  <si>
    <t>Encargos Sociais (%)</t>
  </si>
  <si>
    <t>2.3.5. Fardamento</t>
  </si>
  <si>
    <t xml:space="preserve">2.3.6. Cesta básica </t>
  </si>
  <si>
    <t>2.3.7. Vale refeição</t>
  </si>
  <si>
    <t>2.4.6. Desp. Mensal. c/ Tec. Embarc.</t>
  </si>
  <si>
    <t>Diesel (sem AR)</t>
  </si>
  <si>
    <t>ID</t>
  </si>
  <si>
    <t>Linha (nº)</t>
  </si>
  <si>
    <t>Quilometragem programada mensal</t>
  </si>
  <si>
    <t>Unidade: dias</t>
  </si>
  <si>
    <t>Unidade: viagens</t>
  </si>
  <si>
    <t>Unidade: km</t>
  </si>
  <si>
    <t>Dias úteis</t>
  </si>
  <si>
    <t>Sábados</t>
  </si>
  <si>
    <t>Domingos / Feriados</t>
  </si>
  <si>
    <t>Centro Menor</t>
  </si>
  <si>
    <t>Centro Maior</t>
  </si>
  <si>
    <t>Centro Sul</t>
  </si>
  <si>
    <t>Mutirão/Centro via Tiúba</t>
  </si>
  <si>
    <t>Parque Alvorada/BEC/Centro</t>
  </si>
  <si>
    <t>Cocais/Flores II/Centro</t>
  </si>
  <si>
    <t>Novo Tempo/Perimetral</t>
  </si>
  <si>
    <t>Mutirão/Parque Alvorada</t>
  </si>
  <si>
    <t>Novo Tempo/Expresso</t>
  </si>
  <si>
    <t>Rota Universitária</t>
  </si>
  <si>
    <t>Chassi:</t>
  </si>
  <si>
    <t xml:space="preserve">Carroceria: </t>
  </si>
  <si>
    <t>3.2. PIS/COFINS</t>
  </si>
  <si>
    <t>3.3. ISSQN</t>
  </si>
  <si>
    <t>Custo Total (R$/Km)</t>
  </si>
  <si>
    <t>Custo Total (R$/mês</t>
  </si>
  <si>
    <t>Tarifa Técnica</t>
  </si>
  <si>
    <t>Pax/mês</t>
  </si>
  <si>
    <t>Comuns</t>
  </si>
  <si>
    <t>Gratuidades</t>
  </si>
  <si>
    <t>Meias</t>
  </si>
  <si>
    <t>Quant. de dias de operação no período de análise</t>
  </si>
  <si>
    <r>
      <t xml:space="preserve">Quant. viagens prog. p/ linhas de ônibus </t>
    </r>
    <r>
      <rPr>
        <b/>
        <sz val="10"/>
        <rFont val="Calibri"/>
        <family val="2"/>
      </rPr>
      <t xml:space="preserve"> em um tipo de dia de operação</t>
    </r>
  </si>
  <si>
    <t>km mensal improdutiva</t>
  </si>
  <si>
    <t>T001</t>
  </si>
  <si>
    <t>T002</t>
  </si>
  <si>
    <t>T003</t>
  </si>
  <si>
    <t>U001</t>
  </si>
  <si>
    <t>U002</t>
  </si>
  <si>
    <t>U005</t>
  </si>
  <si>
    <t>U006</t>
  </si>
  <si>
    <t>Frota</t>
  </si>
  <si>
    <t>PASSAGEIROS / FROTA</t>
  </si>
  <si>
    <r>
      <t xml:space="preserve">km prog. p/ linha de ônibus </t>
    </r>
    <r>
      <rPr>
        <b/>
        <sz val="10"/>
        <rFont val="Calibri"/>
        <family val="2"/>
      </rPr>
      <t xml:space="preserve">em um tipo de dia de operação  </t>
    </r>
  </si>
  <si>
    <t>Planilha Tarifária - Semiurbano</t>
  </si>
  <si>
    <t>Planilha Tarifária - Urbano</t>
  </si>
  <si>
    <t xml:space="preserve">Veículo Convencional: </t>
  </si>
  <si>
    <t>Obsoleto</t>
  </si>
  <si>
    <t>Vida útil Pneu (295/80 R22,5)</t>
  </si>
  <si>
    <t>Lubrificante</t>
  </si>
  <si>
    <t>Depreciação média anual</t>
  </si>
  <si>
    <t>2.4.5. IPVA e Detran</t>
  </si>
  <si>
    <t>2.4.7. Fiscalização ANTT</t>
  </si>
  <si>
    <t>Ttéc URB</t>
  </si>
  <si>
    <t>Ttécn SUR</t>
  </si>
  <si>
    <t>Pax Integra</t>
  </si>
  <si>
    <t>Total Integra</t>
  </si>
  <si>
    <t>Pax Normal</t>
  </si>
  <si>
    <t>Total Norm</t>
  </si>
  <si>
    <t>U007</t>
  </si>
  <si>
    <t>DADOS SEMI-URBANO - INTEGRADO</t>
  </si>
  <si>
    <t>DADOS URBANO - INTEGRADO</t>
  </si>
  <si>
    <t>RECEITAS</t>
  </si>
  <si>
    <t>DEMANDA MENSAL</t>
  </si>
  <si>
    <t>TARIFA</t>
  </si>
  <si>
    <t>% de passageiros que integram</t>
  </si>
  <si>
    <t>PAX</t>
  </si>
  <si>
    <t>Urbano</t>
  </si>
  <si>
    <t>Semirubano</t>
  </si>
  <si>
    <t>INTEGRAM</t>
  </si>
  <si>
    <t>NÃO INTEGRAM</t>
  </si>
  <si>
    <t>TARIFA PÚBLICA</t>
  </si>
  <si>
    <t>PASSAGEM</t>
  </si>
  <si>
    <t>1ª</t>
  </si>
  <si>
    <t>2ª</t>
  </si>
  <si>
    <t>U003</t>
  </si>
  <si>
    <t>U004</t>
  </si>
  <si>
    <t>TOTAL</t>
  </si>
  <si>
    <t>TOTAL + 10%</t>
  </si>
  <si>
    <t>DEMANDA ESTIMADA</t>
  </si>
  <si>
    <t>*Tabela apresentada no PGO - Plano Geral de Outorga</t>
  </si>
  <si>
    <t>Quilometragem programada mensal (KM)</t>
  </si>
  <si>
    <t>IPK</t>
  </si>
  <si>
    <t>Semiurbano</t>
  </si>
  <si>
    <t>Tarifa</t>
  </si>
  <si>
    <t>GARANTIA DA PROPOSTA (R$/LOTE)</t>
  </si>
  <si>
    <t>GARANTIA DO CONTRATO (R$/LOTE)</t>
  </si>
  <si>
    <t>Pax/ano</t>
  </si>
  <si>
    <t>Receita/ano</t>
  </si>
  <si>
    <t>TARIFA - URBANA</t>
  </si>
  <si>
    <t>Ano</t>
  </si>
  <si>
    <r>
      <t xml:space="preserve">TARIFA - SEMIURBANA </t>
    </r>
    <r>
      <rPr>
        <b/>
        <sz val="12"/>
        <color theme="1"/>
        <rFont val="Calibri"/>
        <family val="2"/>
        <scheme val="minor"/>
      </rPr>
      <t>(CONSIDERANDO MEIA PASSAGEM)</t>
    </r>
  </si>
  <si>
    <t>*valores utilizados para o cálculo tarifário</t>
  </si>
  <si>
    <t>considerando a quilometragem programada da aba "1_Demanda"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</si>
</sst>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0.000%"/>
    <numFmt numFmtId="165" formatCode="#,##0.00\ ;&quot; (&quot;#,##0.00\);&quot; -&quot;#\ ;@\ "/>
    <numFmt numFmtId="166" formatCode="[$R$-416]\ #,##0.00;[Red]\-[$R$-416]\ #,##0.00"/>
    <numFmt numFmtId="167" formatCode="0.0"/>
    <numFmt numFmtId="168" formatCode="0.0000000"/>
    <numFmt numFmtId="169" formatCode="0.00000"/>
    <numFmt numFmtId="170" formatCode="[$R$-416]\ #,##0.0000;[Red]\-[$R$-416]\ #,##0.0000"/>
    <numFmt numFmtId="171" formatCode="0.0000"/>
    <numFmt numFmtId="172" formatCode="#,##0.000000"/>
    <numFmt numFmtId="173" formatCode="[$R$-416]\ #,##0.000000;[Red]\-[$R$-416]\ #,##0.000000"/>
    <numFmt numFmtId="174" formatCode="0.000000%"/>
    <numFmt numFmtId="175" formatCode="0.0%"/>
    <numFmt numFmtId="176" formatCode="&quot;R$ &quot;#,##0.00;[Red]&quot;R$ &quot;#,##0.00"/>
    <numFmt numFmtId="177" formatCode="_-* #,##0_-;\-* #,##0_-;_-* &quot;-&quot;??_-;_-@_-"/>
    <numFmt numFmtId="178" formatCode="_-* #,##0.0000_-;\-* #,##0.0000_-;_-* &quot;-&quot;??_-;_-@_-"/>
    <numFmt numFmtId="179" formatCode="[$R$-416]\ #,##0.00000;[Red]\-[$R$-416]\ #,##0.00000"/>
    <numFmt numFmtId="180" formatCode="0.000"/>
    <numFmt numFmtId="181" formatCode="_-[$R$-416]\ * #,##0.00_-;\-[$R$-416]\ * #,##0.00_-;_-[$R$-416]\ 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93">
    <xf numFmtId="0" fontId="0" fillId="0" borderId="0" xfId="0"/>
    <xf numFmtId="0" fontId="2" fillId="0" borderId="2" xfId="1" applyFont="1" applyBorder="1"/>
    <xf numFmtId="168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172" fontId="2" fillId="0" borderId="1" xfId="1" applyNumberFormat="1" applyFont="1" applyBorder="1" applyAlignment="1">
      <alignment horizontal="right" vertical="center"/>
    </xf>
    <xf numFmtId="173" fontId="2" fillId="0" borderId="0" xfId="1" applyNumberFormat="1" applyFont="1" applyAlignment="1">
      <alignment horizontal="left" vertical="center"/>
    </xf>
    <xf numFmtId="0" fontId="2" fillId="0" borderId="0" xfId="1" applyFont="1"/>
    <xf numFmtId="43" fontId="2" fillId="0" borderId="1" xfId="7" applyFont="1" applyFill="1" applyBorder="1" applyAlignment="1">
      <alignment horizontal="right" vertical="center"/>
    </xf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78" fontId="2" fillId="0" borderId="1" xfId="7" applyNumberFormat="1" applyFont="1" applyFill="1" applyBorder="1"/>
    <xf numFmtId="177" fontId="7" fillId="0" borderId="0" xfId="7" applyNumberFormat="1" applyFont="1" applyFill="1"/>
    <xf numFmtId="177" fontId="7" fillId="0" borderId="0" xfId="0" applyNumberFormat="1" applyFont="1"/>
    <xf numFmtId="166" fontId="2" fillId="0" borderId="0" xfId="1" applyNumberFormat="1" applyFont="1" applyAlignment="1">
      <alignment horizontal="left" vertical="center"/>
    </xf>
    <xf numFmtId="0" fontId="0" fillId="0" borderId="19" xfId="0" applyBorder="1"/>
    <xf numFmtId="177" fontId="0" fillId="0" borderId="20" xfId="7" applyNumberFormat="1" applyFont="1" applyBorder="1"/>
    <xf numFmtId="0" fontId="0" fillId="0" borderId="21" xfId="0" applyBorder="1"/>
    <xf numFmtId="177" fontId="0" fillId="0" borderId="22" xfId="7" applyNumberFormat="1" applyFont="1" applyBorder="1"/>
    <xf numFmtId="181" fontId="0" fillId="0" borderId="24" xfId="0" applyNumberFormat="1" applyBorder="1"/>
    <xf numFmtId="181" fontId="0" fillId="0" borderId="20" xfId="0" applyNumberFormat="1" applyBorder="1"/>
    <xf numFmtId="0" fontId="0" fillId="0" borderId="19" xfId="0" applyBorder="1" applyAlignment="1">
      <alignment horizontal="left"/>
    </xf>
    <xf numFmtId="1" fontId="0" fillId="0" borderId="0" xfId="0" applyNumberFormat="1"/>
    <xf numFmtId="0" fontId="5" fillId="4" borderId="19" xfId="0" applyFont="1" applyFill="1" applyBorder="1"/>
    <xf numFmtId="181" fontId="5" fillId="4" borderId="20" xfId="0" applyNumberFormat="1" applyFont="1" applyFill="1" applyBorder="1"/>
    <xf numFmtId="0" fontId="5" fillId="4" borderId="21" xfId="0" applyFont="1" applyFill="1" applyBorder="1"/>
    <xf numFmtId="181" fontId="5" fillId="4" borderId="22" xfId="0" applyNumberFormat="1" applyFont="1" applyFill="1" applyBorder="1"/>
    <xf numFmtId="177" fontId="0" fillId="0" borderId="20" xfId="7" applyNumberFormat="1" applyFont="1" applyFill="1" applyBorder="1"/>
    <xf numFmtId="177" fontId="0" fillId="0" borderId="22" xfId="7" applyNumberFormat="1" applyFont="1" applyFill="1" applyBorder="1"/>
    <xf numFmtId="0" fontId="2" fillId="2" borderId="0" xfId="1" applyFont="1" applyFill="1"/>
    <xf numFmtId="0" fontId="2" fillId="2" borderId="2" xfId="1" applyFont="1" applyFill="1" applyBorder="1"/>
    <xf numFmtId="168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center"/>
    </xf>
    <xf numFmtId="178" fontId="2" fillId="2" borderId="1" xfId="7" applyNumberFormat="1" applyFont="1" applyFill="1" applyBorder="1"/>
    <xf numFmtId="0" fontId="2" fillId="2" borderId="0" xfId="1" applyFont="1" applyFill="1" applyAlignment="1">
      <alignment horizontal="right" vertical="center"/>
    </xf>
    <xf numFmtId="0" fontId="2" fillId="2" borderId="2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2" fillId="2" borderId="4" xfId="1" applyFont="1" applyFill="1" applyBorder="1" applyAlignment="1">
      <alignment horizontal="right" vertical="center"/>
    </xf>
    <xf numFmtId="173" fontId="2" fillId="2" borderId="0" xfId="1" applyNumberFormat="1" applyFont="1" applyFill="1" applyAlignment="1">
      <alignment horizontal="left" vertical="center"/>
    </xf>
    <xf numFmtId="166" fontId="2" fillId="2" borderId="0" xfId="1" applyNumberFormat="1" applyFont="1" applyFill="1" applyAlignment="1">
      <alignment horizontal="left" vertical="center"/>
    </xf>
    <xf numFmtId="1" fontId="6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" fillId="0" borderId="0" xfId="1"/>
    <xf numFmtId="2" fontId="2" fillId="0" borderId="0" xfId="3" applyNumberFormat="1" applyFont="1" applyFill="1" applyAlignment="1">
      <alignment horizontal="center"/>
    </xf>
    <xf numFmtId="0" fontId="1" fillId="0" borderId="1" xfId="1" applyBorder="1"/>
    <xf numFmtId="4" fontId="1" fillId="0" borderId="1" xfId="5" applyNumberFormat="1" applyFill="1" applyBorder="1" applyAlignment="1" applyProtection="1">
      <alignment horizontal="right"/>
    </xf>
    <xf numFmtId="0" fontId="1" fillId="0" borderId="2" xfId="1" applyBorder="1"/>
    <xf numFmtId="2" fontId="1" fillId="0" borderId="3" xfId="1" applyNumberFormat="1" applyBorder="1"/>
    <xf numFmtId="164" fontId="1" fillId="0" borderId="4" xfId="5" applyNumberFormat="1" applyFill="1" applyBorder="1" applyAlignment="1" applyProtection="1"/>
    <xf numFmtId="177" fontId="1" fillId="0" borderId="1" xfId="7" applyNumberFormat="1" applyFont="1" applyFill="1" applyBorder="1" applyAlignment="1">
      <alignment horizontal="right"/>
    </xf>
    <xf numFmtId="0" fontId="1" fillId="0" borderId="0" xfId="1" applyAlignment="1">
      <alignment horizontal="center"/>
    </xf>
    <xf numFmtId="0" fontId="1" fillId="0" borderId="2" xfId="1" applyBorder="1" applyAlignment="1">
      <alignment horizontal="left"/>
    </xf>
    <xf numFmtId="0" fontId="1" fillId="0" borderId="4" xfId="1" applyBorder="1"/>
    <xf numFmtId="2" fontId="1" fillId="0" borderId="0" xfId="1" applyNumberFormat="1" applyAlignment="1">
      <alignment horizontal="center"/>
    </xf>
    <xf numFmtId="166" fontId="1" fillId="0" borderId="0" xfId="1" applyNumberFormat="1"/>
    <xf numFmtId="166" fontId="2" fillId="0" borderId="1" xfId="5" applyNumberFormat="1" applyFont="1" applyFill="1" applyBorder="1" applyAlignment="1" applyProtection="1">
      <alignment horizontal="right"/>
    </xf>
    <xf numFmtId="2" fontId="1" fillId="0" borderId="1" xfId="1" applyNumberFormat="1" applyBorder="1" applyAlignment="1">
      <alignment horizontal="right"/>
    </xf>
    <xf numFmtId="10" fontId="1" fillId="0" borderId="0" xfId="3" applyNumberFormat="1" applyFont="1" applyFill="1"/>
    <xf numFmtId="2" fontId="1" fillId="0" borderId="0" xfId="1" applyNumberFormat="1"/>
    <xf numFmtId="164" fontId="1" fillId="0" borderId="0" xfId="1" applyNumberFormat="1"/>
    <xf numFmtId="2" fontId="1" fillId="0" borderId="1" xfId="1" quotePrefix="1" applyNumberFormat="1" applyBorder="1" applyAlignment="1">
      <alignment horizontal="right"/>
    </xf>
    <xf numFmtId="10" fontId="2" fillId="0" borderId="1" xfId="3" applyNumberFormat="1" applyFont="1" applyFill="1" applyBorder="1" applyAlignment="1" applyProtection="1">
      <alignment horizontal="right"/>
    </xf>
    <xf numFmtId="167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0" fontId="1" fillId="0" borderId="1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0" fontId="1" fillId="0" borderId="3" xfId="1" applyBorder="1"/>
    <xf numFmtId="0" fontId="1" fillId="0" borderId="1" xfId="1" applyBorder="1" applyAlignment="1">
      <alignment horizontal="center"/>
    </xf>
    <xf numFmtId="0" fontId="1" fillId="0" borderId="10" xfId="1" applyBorder="1"/>
    <xf numFmtId="0" fontId="1" fillId="0" borderId="9" xfId="1" applyBorder="1"/>
    <xf numFmtId="0" fontId="1" fillId="0" borderId="11" xfId="1" applyBorder="1"/>
    <xf numFmtId="164" fontId="1" fillId="0" borderId="11" xfId="1" applyNumberFormat="1" applyBorder="1" applyAlignment="1">
      <alignment horizontal="center"/>
    </xf>
    <xf numFmtId="0" fontId="2" fillId="0" borderId="10" xfId="1" applyFont="1" applyBorder="1"/>
    <xf numFmtId="0" fontId="2" fillId="0" borderId="9" xfId="1" applyFont="1" applyBorder="1"/>
    <xf numFmtId="168" fontId="2" fillId="0" borderId="8" xfId="1" applyNumberFormat="1" applyFont="1" applyBorder="1"/>
    <xf numFmtId="164" fontId="2" fillId="0" borderId="8" xfId="1" applyNumberFormat="1" applyFont="1" applyBorder="1" applyAlignment="1">
      <alignment horizontal="center"/>
    </xf>
    <xf numFmtId="175" fontId="1" fillId="0" borderId="9" xfId="1" applyNumberFormat="1" applyBorder="1"/>
    <xf numFmtId="1" fontId="1" fillId="0" borderId="10" xfId="1" applyNumberFormat="1" applyBorder="1"/>
    <xf numFmtId="168" fontId="1" fillId="0" borderId="11" xfId="1" applyNumberFormat="1" applyBorder="1"/>
    <xf numFmtId="164" fontId="1" fillId="0" borderId="9" xfId="1" applyNumberFormat="1" applyBorder="1" applyAlignment="1">
      <alignment horizontal="center"/>
    </xf>
    <xf numFmtId="170" fontId="1" fillId="0" borderId="0" xfId="1" applyNumberFormat="1"/>
    <xf numFmtId="179" fontId="1" fillId="0" borderId="10" xfId="1" applyNumberFormat="1" applyBorder="1"/>
    <xf numFmtId="0" fontId="1" fillId="0" borderId="0" xfId="0" applyFont="1" applyAlignment="1">
      <alignment horizontal="right"/>
    </xf>
    <xf numFmtId="4" fontId="1" fillId="0" borderId="0" xfId="1" applyNumberFormat="1"/>
    <xf numFmtId="0" fontId="2" fillId="0" borderId="11" xfId="1" applyFont="1" applyBorder="1"/>
    <xf numFmtId="0" fontId="1" fillId="0" borderId="10" xfId="1" applyBorder="1" applyAlignment="1">
      <alignment horizontal="left" indent="2"/>
    </xf>
    <xf numFmtId="0" fontId="1" fillId="0" borderId="10" xfId="1" applyBorder="1" applyAlignment="1">
      <alignment horizontal="right"/>
    </xf>
    <xf numFmtId="0" fontId="1" fillId="0" borderId="0" xfId="1" applyAlignment="1">
      <alignment horizontal="right"/>
    </xf>
    <xf numFmtId="166" fontId="1" fillId="0" borderId="11" xfId="1" applyNumberFormat="1" applyBorder="1" applyAlignment="1">
      <alignment horizontal="center"/>
    </xf>
    <xf numFmtId="166" fontId="1" fillId="0" borderId="11" xfId="1" applyNumberFormat="1" applyBorder="1"/>
    <xf numFmtId="1" fontId="1" fillId="0" borderId="10" xfId="1" applyNumberFormat="1" applyBorder="1" applyAlignment="1">
      <alignment horizontal="left"/>
    </xf>
    <xf numFmtId="0" fontId="2" fillId="0" borderId="1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66" fontId="1" fillId="0" borderId="0" xfId="1" applyNumberFormat="1" applyAlignment="1">
      <alignment horizontal="center"/>
    </xf>
    <xf numFmtId="166" fontId="1" fillId="0" borderId="10" xfId="1" applyNumberFormat="1" applyBorder="1" applyAlignment="1">
      <alignment horizontal="center"/>
    </xf>
    <xf numFmtId="0" fontId="1" fillId="0" borderId="10" xfId="1" applyBorder="1" applyAlignment="1">
      <alignment horizontal="left"/>
    </xf>
    <xf numFmtId="2" fontId="1" fillId="0" borderId="0" xfId="0" applyNumberFormat="1" applyFont="1"/>
    <xf numFmtId="0" fontId="1" fillId="0" borderId="0" xfId="0" applyFont="1"/>
    <xf numFmtId="166" fontId="2" fillId="0" borderId="11" xfId="1" applyNumberFormat="1" applyFont="1" applyBorder="1"/>
    <xf numFmtId="176" fontId="1" fillId="0" borderId="10" xfId="1" applyNumberFormat="1" applyBorder="1"/>
    <xf numFmtId="0" fontId="2" fillId="0" borderId="12" xfId="1" applyFont="1" applyBorder="1"/>
    <xf numFmtId="0" fontId="13" fillId="0" borderId="10" xfId="1" applyFont="1" applyBorder="1" applyAlignment="1">
      <alignment horizontal="center"/>
    </xf>
    <xf numFmtId="2" fontId="13" fillId="0" borderId="0" xfId="1" applyNumberFormat="1" applyFont="1" applyAlignment="1">
      <alignment horizontal="center"/>
    </xf>
    <xf numFmtId="168" fontId="2" fillId="0" borderId="11" xfId="1" applyNumberFormat="1" applyFont="1" applyBorder="1"/>
    <xf numFmtId="164" fontId="2" fillId="0" borderId="9" xfId="1" applyNumberFormat="1" applyFont="1" applyBorder="1" applyAlignment="1">
      <alignment horizontal="center"/>
    </xf>
    <xf numFmtId="0" fontId="1" fillId="0" borderId="13" xfId="1" applyBorder="1"/>
    <xf numFmtId="168" fontId="1" fillId="0" borderId="8" xfId="1" applyNumberFormat="1" applyBorder="1"/>
    <xf numFmtId="168" fontId="1" fillId="0" borderId="0" xfId="1" applyNumberFormat="1"/>
    <xf numFmtId="164" fontId="1" fillId="0" borderId="0" xfId="1" applyNumberFormat="1" applyAlignment="1">
      <alignment horizontal="center"/>
    </xf>
    <xf numFmtId="0" fontId="1" fillId="2" borderId="0" xfId="1" applyFill="1"/>
    <xf numFmtId="164" fontId="2" fillId="2" borderId="0" xfId="1" applyNumberFormat="1" applyFont="1" applyFill="1" applyAlignment="1">
      <alignment horizontal="center"/>
    </xf>
    <xf numFmtId="0" fontId="1" fillId="2" borderId="1" xfId="1" applyFill="1" applyBorder="1"/>
    <xf numFmtId="4" fontId="1" fillId="2" borderId="1" xfId="5" applyNumberFormat="1" applyFill="1" applyBorder="1" applyAlignment="1" applyProtection="1">
      <alignment horizontal="right"/>
    </xf>
    <xf numFmtId="0" fontId="1" fillId="2" borderId="2" xfId="1" applyFill="1" applyBorder="1"/>
    <xf numFmtId="2" fontId="1" fillId="2" borderId="3" xfId="1" applyNumberFormat="1" applyFill="1" applyBorder="1"/>
    <xf numFmtId="164" fontId="1" fillId="2" borderId="4" xfId="5" applyNumberFormat="1" applyFill="1" applyBorder="1" applyAlignment="1" applyProtection="1"/>
    <xf numFmtId="177" fontId="1" fillId="2" borderId="1" xfId="7" applyNumberFormat="1" applyFont="1" applyFill="1" applyBorder="1" applyAlignment="1">
      <alignment horizontal="right"/>
    </xf>
    <xf numFmtId="0" fontId="1" fillId="2" borderId="0" xfId="1" applyFill="1" applyAlignment="1">
      <alignment horizontal="center"/>
    </xf>
    <xf numFmtId="0" fontId="1" fillId="2" borderId="2" xfId="1" applyFill="1" applyBorder="1" applyAlignment="1">
      <alignment horizontal="left"/>
    </xf>
    <xf numFmtId="0" fontId="1" fillId="2" borderId="4" xfId="1" applyFill="1" applyBorder="1"/>
    <xf numFmtId="166" fontId="2" fillId="2" borderId="1" xfId="5" applyNumberFormat="1" applyFont="1" applyFill="1" applyBorder="1" applyAlignment="1" applyProtection="1">
      <alignment horizontal="right"/>
    </xf>
    <xf numFmtId="2" fontId="1" fillId="2" borderId="0" xfId="1" applyNumberFormat="1" applyFill="1" applyAlignment="1">
      <alignment horizontal="center"/>
    </xf>
    <xf numFmtId="2" fontId="1" fillId="2" borderId="1" xfId="1" applyNumberFormat="1" applyFill="1" applyBorder="1" applyAlignment="1">
      <alignment horizontal="right"/>
    </xf>
    <xf numFmtId="10" fontId="1" fillId="2" borderId="0" xfId="3" applyNumberFormat="1" applyFont="1" applyFill="1"/>
    <xf numFmtId="2" fontId="1" fillId="2" borderId="0" xfId="1" applyNumberFormat="1" applyFill="1"/>
    <xf numFmtId="164" fontId="1" fillId="2" borderId="0" xfId="1" applyNumberFormat="1" applyFill="1"/>
    <xf numFmtId="10" fontId="2" fillId="2" borderId="1" xfId="3" applyNumberFormat="1" applyFont="1" applyFill="1" applyBorder="1" applyAlignment="1" applyProtection="1">
      <alignment horizontal="right"/>
    </xf>
    <xf numFmtId="0" fontId="1" fillId="2" borderId="1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164" fontId="1" fillId="2" borderId="6" xfId="1" applyNumberFormat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164" fontId="1" fillId="2" borderId="8" xfId="1" applyNumberFormat="1" applyFill="1" applyBorder="1" applyAlignment="1">
      <alignment horizontal="center"/>
    </xf>
    <xf numFmtId="0" fontId="1" fillId="2" borderId="3" xfId="1" applyFill="1" applyBorder="1"/>
    <xf numFmtId="0" fontId="1" fillId="2" borderId="10" xfId="1" applyFill="1" applyBorder="1"/>
    <xf numFmtId="0" fontId="1" fillId="2" borderId="9" xfId="1" applyFill="1" applyBorder="1"/>
    <xf numFmtId="0" fontId="1" fillId="2" borderId="11" xfId="1" applyFill="1" applyBorder="1"/>
    <xf numFmtId="164" fontId="1" fillId="2" borderId="11" xfId="1" applyNumberFormat="1" applyFill="1" applyBorder="1" applyAlignment="1">
      <alignment horizontal="center"/>
    </xf>
    <xf numFmtId="0" fontId="2" fillId="2" borderId="10" xfId="1" applyFont="1" applyFill="1" applyBorder="1"/>
    <xf numFmtId="0" fontId="2" fillId="2" borderId="9" xfId="1" applyFont="1" applyFill="1" applyBorder="1"/>
    <xf numFmtId="169" fontId="2" fillId="2" borderId="0" xfId="1" applyNumberFormat="1" applyFont="1" applyFill="1"/>
    <xf numFmtId="170" fontId="2" fillId="2" borderId="11" xfId="1" applyNumberFormat="1" applyFont="1" applyFill="1" applyBorder="1" applyAlignment="1">
      <alignment horizontal="center"/>
    </xf>
    <xf numFmtId="168" fontId="2" fillId="2" borderId="8" xfId="1" applyNumberFormat="1" applyFont="1" applyFill="1" applyBorder="1"/>
    <xf numFmtId="164" fontId="2" fillId="2" borderId="8" xfId="1" applyNumberFormat="1" applyFont="1" applyFill="1" applyBorder="1" applyAlignment="1">
      <alignment horizontal="center"/>
    </xf>
    <xf numFmtId="175" fontId="1" fillId="2" borderId="9" xfId="1" applyNumberFormat="1" applyFill="1" applyBorder="1"/>
    <xf numFmtId="1" fontId="1" fillId="2" borderId="10" xfId="1" applyNumberFormat="1" applyFill="1" applyBorder="1"/>
    <xf numFmtId="169" fontId="1" fillId="2" borderId="0" xfId="1" applyNumberFormat="1" applyFill="1"/>
    <xf numFmtId="170" fontId="1" fillId="2" borderId="11" xfId="1" applyNumberFormat="1" applyFill="1" applyBorder="1" applyAlignment="1">
      <alignment horizontal="center"/>
    </xf>
    <xf numFmtId="168" fontId="1" fillId="2" borderId="11" xfId="1" applyNumberFormat="1" applyFill="1" applyBorder="1"/>
    <xf numFmtId="164" fontId="1" fillId="2" borderId="9" xfId="1" applyNumberFormat="1" applyFill="1" applyBorder="1" applyAlignment="1">
      <alignment horizontal="center"/>
    </xf>
    <xf numFmtId="166" fontId="1" fillId="2" borderId="11" xfId="1" applyNumberFormat="1" applyFill="1" applyBorder="1" applyAlignment="1">
      <alignment horizontal="center"/>
    </xf>
    <xf numFmtId="179" fontId="1" fillId="2" borderId="10" xfId="1" applyNumberFormat="1" applyFill="1" applyBorder="1"/>
    <xf numFmtId="4" fontId="1" fillId="2" borderId="0" xfId="1" applyNumberFormat="1" applyFill="1"/>
    <xf numFmtId="0" fontId="1" fillId="2" borderId="0" xfId="0" applyFont="1" applyFill="1" applyAlignment="1">
      <alignment horizontal="right"/>
    </xf>
    <xf numFmtId="166" fontId="1" fillId="2" borderId="11" xfId="1" applyNumberFormat="1" applyFill="1" applyBorder="1" applyAlignment="1">
      <alignment horizontal="center" vertical="center"/>
    </xf>
    <xf numFmtId="180" fontId="2" fillId="2" borderId="11" xfId="1" applyNumberFormat="1" applyFont="1" applyFill="1" applyBorder="1"/>
    <xf numFmtId="0" fontId="2" fillId="2" borderId="11" xfId="1" applyFont="1" applyFill="1" applyBorder="1"/>
    <xf numFmtId="0" fontId="1" fillId="2" borderId="10" xfId="1" applyFill="1" applyBorder="1" applyAlignment="1">
      <alignment horizontal="left" indent="2"/>
    </xf>
    <xf numFmtId="0" fontId="1" fillId="2" borderId="10" xfId="1" applyFill="1" applyBorder="1" applyAlignment="1">
      <alignment horizontal="right"/>
    </xf>
    <xf numFmtId="0" fontId="1" fillId="2" borderId="0" xfId="1" applyFill="1" applyAlignment="1">
      <alignment horizontal="right"/>
    </xf>
    <xf numFmtId="167" fontId="1" fillId="2" borderId="0" xfId="1" applyNumberFormat="1" applyFill="1" applyAlignment="1">
      <alignment horizontal="left"/>
    </xf>
    <xf numFmtId="1" fontId="1" fillId="2" borderId="10" xfId="1" applyNumberFormat="1" applyFill="1" applyBorder="1" applyAlignment="1">
      <alignment horizontal="left"/>
    </xf>
    <xf numFmtId="181" fontId="1" fillId="2" borderId="0" xfId="1" applyNumberFormat="1" applyFill="1" applyAlignment="1">
      <alignment horizontal="left"/>
    </xf>
    <xf numFmtId="166" fontId="1" fillId="2" borderId="11" xfId="1" applyNumberFormat="1" applyFill="1" applyBorder="1"/>
    <xf numFmtId="1" fontId="1" fillId="2" borderId="0" xfId="1" applyNumberFormat="1" applyFill="1" applyAlignment="1">
      <alignment horizontal="left"/>
    </xf>
    <xf numFmtId="2" fontId="1" fillId="2" borderId="0" xfId="1" applyNumberFormat="1" applyFill="1" applyAlignment="1">
      <alignment horizontal="left"/>
    </xf>
    <xf numFmtId="0" fontId="1" fillId="2" borderId="0" xfId="1" applyFill="1" applyAlignment="1">
      <alignment horizontal="left"/>
    </xf>
    <xf numFmtId="171" fontId="1" fillId="2" borderId="0" xfId="1" applyNumberFormat="1" applyFill="1" applyAlignment="1">
      <alignment horizontal="left"/>
    </xf>
    <xf numFmtId="167" fontId="2" fillId="2" borderId="0" xfId="1" applyNumberFormat="1" applyFont="1" applyFill="1" applyAlignment="1">
      <alignment horizontal="left"/>
    </xf>
    <xf numFmtId="0" fontId="2" fillId="2" borderId="1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1" fontId="1" fillId="2" borderId="10" xfId="1" applyNumberFormat="1" applyFill="1" applyBorder="1" applyAlignment="1">
      <alignment horizontal="center"/>
    </xf>
    <xf numFmtId="169" fontId="1" fillId="2" borderId="0" xfId="0" applyNumberFormat="1" applyFont="1" applyFill="1" applyAlignment="1">
      <alignment horizontal="center"/>
    </xf>
    <xf numFmtId="166" fontId="1" fillId="2" borderId="10" xfId="1" applyNumberFormat="1" applyFill="1" applyBorder="1" applyAlignment="1">
      <alignment horizontal="center"/>
    </xf>
    <xf numFmtId="171" fontId="1" fillId="2" borderId="10" xfId="0" applyNumberFormat="1" applyFont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10" xfId="1" applyFill="1" applyBorder="1" applyAlignment="1">
      <alignment horizontal="left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166" fontId="2" fillId="2" borderId="11" xfId="1" applyNumberFormat="1" applyFont="1" applyFill="1" applyBorder="1"/>
    <xf numFmtId="0" fontId="6" fillId="2" borderId="0" xfId="0" applyFont="1" applyFill="1"/>
    <xf numFmtId="176" fontId="1" fillId="2" borderId="10" xfId="1" applyNumberFormat="1" applyFill="1" applyBorder="1"/>
    <xf numFmtId="2" fontId="1" fillId="2" borderId="0" xfId="0" applyNumberFormat="1" applyFont="1" applyFill="1" applyAlignment="1">
      <alignment horizontal="right"/>
    </xf>
    <xf numFmtId="9" fontId="1" fillId="2" borderId="0" xfId="3" applyFont="1" applyFill="1" applyAlignment="1">
      <alignment horizontal="left"/>
    </xf>
    <xf numFmtId="4" fontId="1" fillId="2" borderId="0" xfId="0" applyNumberFormat="1" applyFont="1" applyFill="1"/>
    <xf numFmtId="0" fontId="2" fillId="2" borderId="12" xfId="1" applyFont="1" applyFill="1" applyBorder="1"/>
    <xf numFmtId="2" fontId="1" fillId="2" borderId="13" xfId="1" applyNumberFormat="1" applyFill="1" applyBorder="1" applyAlignment="1">
      <alignment horizontal="center"/>
    </xf>
    <xf numFmtId="0" fontId="13" fillId="2" borderId="10" xfId="1" applyFont="1" applyFill="1" applyBorder="1" applyAlignment="1">
      <alignment horizontal="center"/>
    </xf>
    <xf numFmtId="2" fontId="13" fillId="2" borderId="0" xfId="1" applyNumberFormat="1" applyFont="1" applyFill="1" applyAlignment="1">
      <alignment horizontal="center"/>
    </xf>
    <xf numFmtId="168" fontId="2" fillId="2" borderId="11" xfId="1" applyNumberFormat="1" applyFont="1" applyFill="1" applyBorder="1"/>
    <xf numFmtId="164" fontId="2" fillId="2" borderId="9" xfId="1" applyNumberFormat="1" applyFont="1" applyFill="1" applyBorder="1" applyAlignment="1">
      <alignment horizontal="center"/>
    </xf>
    <xf numFmtId="0" fontId="1" fillId="2" borderId="12" xfId="1" applyFill="1" applyBorder="1"/>
    <xf numFmtId="0" fontId="1" fillId="2" borderId="13" xfId="1" applyFill="1" applyBorder="1"/>
    <xf numFmtId="168" fontId="1" fillId="2" borderId="8" xfId="1" applyNumberFormat="1" applyFill="1" applyBorder="1"/>
    <xf numFmtId="168" fontId="1" fillId="2" borderId="0" xfId="1" applyNumberFormat="1" applyFill="1"/>
    <xf numFmtId="164" fontId="1" fillId="2" borderId="0" xfId="1" applyNumberFormat="1" applyFill="1" applyAlignment="1">
      <alignment horizontal="center"/>
    </xf>
    <xf numFmtId="175" fontId="1" fillId="0" borderId="0" xfId="3" applyNumberFormat="1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0" xfId="0" applyFont="1"/>
    <xf numFmtId="0" fontId="5" fillId="3" borderId="23" xfId="0" applyFont="1" applyFill="1" applyBorder="1" applyAlignment="1">
      <alignment horizontal="center"/>
    </xf>
    <xf numFmtId="0" fontId="5" fillId="0" borderId="28" xfId="0" applyFont="1" applyBorder="1"/>
    <xf numFmtId="0" fontId="5" fillId="3" borderId="26" xfId="0" applyFont="1" applyFill="1" applyBorder="1" applyAlignment="1">
      <alignment horizontal="center"/>
    </xf>
    <xf numFmtId="0" fontId="14" fillId="0" borderId="0" xfId="0" applyFont="1"/>
    <xf numFmtId="4" fontId="14" fillId="0" borderId="0" xfId="0" applyNumberFormat="1" applyFont="1"/>
    <xf numFmtId="177" fontId="16" fillId="4" borderId="0" xfId="7" applyNumberFormat="1" applyFont="1" applyFill="1" applyBorder="1" applyAlignment="1">
      <alignment horizontal="right"/>
    </xf>
    <xf numFmtId="177" fontId="19" fillId="4" borderId="0" xfId="7" applyNumberFormat="1" applyFont="1" applyFill="1" applyBorder="1" applyAlignment="1">
      <alignment horizontal="right"/>
    </xf>
    <xf numFmtId="177" fontId="19" fillId="4" borderId="1" xfId="7" applyNumberFormat="1" applyFont="1" applyFill="1" applyBorder="1" applyAlignment="1">
      <alignment horizontal="right"/>
    </xf>
    <xf numFmtId="177" fontId="14" fillId="0" borderId="0" xfId="0" applyNumberFormat="1" applyFont="1"/>
    <xf numFmtId="181" fontId="14" fillId="0" borderId="0" xfId="0" applyNumberFormat="1" applyFont="1"/>
    <xf numFmtId="0" fontId="20" fillId="0" borderId="0" xfId="0" applyFont="1" applyAlignment="1">
      <alignment horizontal="right"/>
    </xf>
    <xf numFmtId="0" fontId="5" fillId="2" borderId="0" xfId="0" applyFont="1" applyFill="1"/>
    <xf numFmtId="181" fontId="18" fillId="2" borderId="0" xfId="0" applyNumberFormat="1" applyFont="1" applyFill="1"/>
    <xf numFmtId="0" fontId="14" fillId="2" borderId="0" xfId="0" applyFont="1" applyFill="1"/>
    <xf numFmtId="177" fontId="14" fillId="2" borderId="0" xfId="0" applyNumberFormat="1" applyFont="1" applyFill="1"/>
    <xf numFmtId="0" fontId="5" fillId="4" borderId="34" xfId="0" applyFont="1" applyFill="1" applyBorder="1"/>
    <xf numFmtId="181" fontId="18" fillId="4" borderId="34" xfId="0" applyNumberFormat="1" applyFont="1" applyFill="1" applyBorder="1"/>
    <xf numFmtId="0" fontId="0" fillId="0" borderId="36" xfId="0" applyBorder="1"/>
    <xf numFmtId="9" fontId="0" fillId="3" borderId="36" xfId="3" applyFont="1" applyFill="1" applyBorder="1"/>
    <xf numFmtId="181" fontId="0" fillId="4" borderId="25" xfId="7" applyNumberFormat="1" applyFont="1" applyFill="1" applyBorder="1"/>
    <xf numFmtId="181" fontId="5" fillId="4" borderId="14" xfId="0" applyNumberFormat="1" applyFont="1" applyFill="1" applyBorder="1"/>
    <xf numFmtId="181" fontId="5" fillId="4" borderId="27" xfId="0" applyNumberFormat="1" applyFont="1" applyFill="1" applyBorder="1"/>
    <xf numFmtId="9" fontId="1" fillId="3" borderId="1" xfId="1" applyNumberFormat="1" applyFill="1" applyBorder="1" applyAlignment="1">
      <alignment horizontal="right"/>
    </xf>
    <xf numFmtId="0" fontId="1" fillId="3" borderId="0" xfId="1" applyFill="1"/>
    <xf numFmtId="2" fontId="1" fillId="3" borderId="0" xfId="0" applyNumberFormat="1" applyFont="1" applyFill="1"/>
    <xf numFmtId="168" fontId="2" fillId="0" borderId="7" xfId="1" applyNumberFormat="1" applyFont="1" applyBorder="1"/>
    <xf numFmtId="168" fontId="1" fillId="0" borderId="9" xfId="1" applyNumberFormat="1" applyBorder="1"/>
    <xf numFmtId="168" fontId="2" fillId="0" borderId="4" xfId="1" applyNumberFormat="1" applyFont="1" applyBorder="1"/>
    <xf numFmtId="166" fontId="1" fillId="0" borderId="9" xfId="1" applyNumberFormat="1" applyBorder="1" applyAlignment="1">
      <alignment horizontal="center" vertical="center"/>
    </xf>
    <xf numFmtId="0" fontId="1" fillId="0" borderId="38" xfId="1" applyBorder="1"/>
    <xf numFmtId="0" fontId="1" fillId="0" borderId="39" xfId="1" applyBorder="1"/>
    <xf numFmtId="0" fontId="2" fillId="0" borderId="39" xfId="1" applyFont="1" applyBorder="1"/>
    <xf numFmtId="166" fontId="1" fillId="0" borderId="39" xfId="1" applyNumberFormat="1" applyBorder="1" applyAlignment="1">
      <alignment horizontal="center" vertical="center"/>
    </xf>
    <xf numFmtId="0" fontId="1" fillId="0" borderId="37" xfId="1" applyBorder="1"/>
    <xf numFmtId="2" fontId="1" fillId="0" borderId="13" xfId="1" applyNumberFormat="1" applyBorder="1" applyAlignment="1">
      <alignment horizontal="center"/>
    </xf>
    <xf numFmtId="2" fontId="1" fillId="0" borderId="0" xfId="0" applyNumberFormat="1" applyFont="1" applyAlignment="1">
      <alignment horizontal="right"/>
    </xf>
    <xf numFmtId="175" fontId="1" fillId="0" borderId="0" xfId="3" applyNumberFormat="1" applyFont="1" applyFill="1" applyAlignment="1">
      <alignment horizontal="left"/>
    </xf>
    <xf numFmtId="4" fontId="1" fillId="0" borderId="0" xfId="0" applyNumberFormat="1" applyFont="1"/>
    <xf numFmtId="171" fontId="1" fillId="0" borderId="10" xfId="1" applyNumberForma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left"/>
    </xf>
    <xf numFmtId="171" fontId="1" fillId="0" borderId="0" xfId="1" applyNumberFormat="1" applyAlignment="1">
      <alignment horizontal="left"/>
    </xf>
    <xf numFmtId="167" fontId="2" fillId="0" borderId="0" xfId="1" applyNumberFormat="1" applyFont="1" applyAlignment="1">
      <alignment horizontal="left"/>
    </xf>
    <xf numFmtId="167" fontId="1" fillId="0" borderId="0" xfId="1" applyNumberFormat="1" applyAlignment="1">
      <alignment horizontal="left"/>
    </xf>
    <xf numFmtId="181" fontId="1" fillId="0" borderId="0" xfId="1" applyNumberFormat="1" applyAlignment="1">
      <alignment horizontal="left"/>
    </xf>
    <xf numFmtId="1" fontId="1" fillId="0" borderId="0" xfId="1" applyNumberFormat="1" applyAlignment="1">
      <alignment horizontal="left"/>
    </xf>
    <xf numFmtId="2" fontId="1" fillId="0" borderId="0" xfId="1" applyNumberFormat="1" applyAlignment="1">
      <alignment horizontal="left"/>
    </xf>
    <xf numFmtId="169" fontId="2" fillId="0" borderId="0" xfId="1" applyNumberFormat="1" applyFont="1"/>
    <xf numFmtId="170" fontId="2" fillId="0" borderId="39" xfId="1" applyNumberFormat="1" applyFont="1" applyBorder="1" applyAlignment="1">
      <alignment horizontal="center"/>
    </xf>
    <xf numFmtId="169" fontId="1" fillId="0" borderId="0" xfId="1" applyNumberFormat="1"/>
    <xf numFmtId="170" fontId="1" fillId="0" borderId="39" xfId="1" applyNumberFormat="1" applyBorder="1" applyAlignment="1">
      <alignment horizontal="center"/>
    </xf>
    <xf numFmtId="1" fontId="1" fillId="0" borderId="39" xfId="1" applyNumberFormat="1" applyBorder="1"/>
    <xf numFmtId="166" fontId="1" fillId="0" borderId="39" xfId="1" applyNumberFormat="1" applyBorder="1" applyAlignment="1">
      <alignment horizontal="center"/>
    </xf>
    <xf numFmtId="0" fontId="1" fillId="3" borderId="10" xfId="1" applyFill="1" applyBorder="1"/>
    <xf numFmtId="0" fontId="1" fillId="3" borderId="9" xfId="1" applyFill="1" applyBorder="1"/>
    <xf numFmtId="0" fontId="8" fillId="0" borderId="36" xfId="0" applyFont="1" applyBorder="1" applyAlignment="1">
      <alignment horizontal="center" vertical="center" wrapText="1"/>
    </xf>
    <xf numFmtId="177" fontId="8" fillId="0" borderId="36" xfId="7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/>
    </xf>
    <xf numFmtId="0" fontId="6" fillId="4" borderId="36" xfId="0" applyFont="1" applyFill="1" applyBorder="1"/>
    <xf numFmtId="177" fontId="6" fillId="4" borderId="36" xfId="7" applyNumberFormat="1" applyFont="1" applyFill="1" applyBorder="1" applyAlignment="1">
      <alignment horizontal="center"/>
    </xf>
    <xf numFmtId="1" fontId="6" fillId="4" borderId="36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167" fontId="6" fillId="0" borderId="36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177" fontId="6" fillId="2" borderId="36" xfId="7" applyNumberFormat="1" applyFont="1" applyFill="1" applyBorder="1" applyAlignment="1">
      <alignment horizontal="center"/>
    </xf>
    <xf numFmtId="177" fontId="10" fillId="4" borderId="36" xfId="0" applyNumberFormat="1" applyFont="1" applyFill="1" applyBorder="1"/>
    <xf numFmtId="177" fontId="10" fillId="4" borderId="36" xfId="7" applyNumberFormat="1" applyFont="1" applyFill="1" applyBorder="1"/>
    <xf numFmtId="0" fontId="6" fillId="2" borderId="38" xfId="0" applyFont="1" applyFill="1" applyBorder="1" applyAlignment="1">
      <alignment horizontal="center"/>
    </xf>
    <xf numFmtId="177" fontId="6" fillId="2" borderId="38" xfId="7" applyNumberFormat="1" applyFont="1" applyFill="1" applyBorder="1" applyAlignment="1">
      <alignment horizontal="center"/>
    </xf>
    <xf numFmtId="0" fontId="7" fillId="4" borderId="41" xfId="0" applyFont="1" applyFill="1" applyBorder="1"/>
    <xf numFmtId="0" fontId="7" fillId="4" borderId="42" xfId="0" applyFont="1" applyFill="1" applyBorder="1"/>
    <xf numFmtId="3" fontId="8" fillId="0" borderId="0" xfId="0" applyNumberFormat="1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45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167" fontId="1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11" fillId="0" borderId="20" xfId="0" applyNumberFormat="1" applyFont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left" vertical="center"/>
    </xf>
    <xf numFmtId="3" fontId="23" fillId="2" borderId="14" xfId="0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167" fontId="24" fillId="2" borderId="20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left" vertical="center"/>
    </xf>
    <xf numFmtId="3" fontId="23" fillId="2" borderId="27" xfId="0" applyNumberFormat="1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167" fontId="24" fillId="2" borderId="22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167" fontId="11" fillId="0" borderId="46" xfId="0" applyNumberFormat="1" applyFont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left" vertical="center"/>
    </xf>
    <xf numFmtId="3" fontId="23" fillId="2" borderId="26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167" fontId="24" fillId="2" borderId="18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26" fillId="0" borderId="0" xfId="0" applyFont="1"/>
    <xf numFmtId="0" fontId="5" fillId="4" borderId="54" xfId="0" applyFont="1" applyFill="1" applyBorder="1"/>
    <xf numFmtId="0" fontId="14" fillId="0" borderId="55" xfId="0" applyFont="1" applyBorder="1"/>
    <xf numFmtId="0" fontId="5" fillId="2" borderId="35" xfId="0" applyFont="1" applyFill="1" applyBorder="1"/>
    <xf numFmtId="0" fontId="14" fillId="2" borderId="55" xfId="0" applyFont="1" applyFill="1" applyBorder="1"/>
    <xf numFmtId="0" fontId="22" fillId="0" borderId="35" xfId="0" applyFont="1" applyBorder="1"/>
    <xf numFmtId="177" fontId="19" fillId="4" borderId="56" xfId="7" applyNumberFormat="1" applyFont="1" applyFill="1" applyBorder="1" applyAlignment="1">
      <alignment horizontal="right"/>
    </xf>
    <xf numFmtId="181" fontId="15" fillId="4" borderId="56" xfId="0" applyNumberFormat="1" applyFont="1" applyFill="1" applyBorder="1"/>
    <xf numFmtId="0" fontId="14" fillId="0" borderId="35" xfId="0" applyFont="1" applyBorder="1"/>
    <xf numFmtId="0" fontId="14" fillId="0" borderId="57" xfId="0" applyFont="1" applyBorder="1"/>
    <xf numFmtId="181" fontId="14" fillId="0" borderId="58" xfId="0" applyNumberFormat="1" applyFont="1" applyBorder="1"/>
    <xf numFmtId="181" fontId="15" fillId="4" borderId="60" xfId="0" applyNumberFormat="1" applyFont="1" applyFill="1" applyBorder="1"/>
    <xf numFmtId="172" fontId="2" fillId="2" borderId="1" xfId="1" applyNumberFormat="1" applyFont="1" applyFill="1" applyBorder="1" applyAlignment="1">
      <alignment horizontal="right"/>
    </xf>
    <xf numFmtId="43" fontId="2" fillId="2" borderId="1" xfId="7" applyFont="1" applyFill="1" applyBorder="1" applyAlignment="1">
      <alignment horizontal="right"/>
    </xf>
    <xf numFmtId="0" fontId="10" fillId="4" borderId="40" xfId="0" applyFont="1" applyFill="1" applyBorder="1"/>
    <xf numFmtId="167" fontId="1" fillId="2" borderId="0" xfId="3" applyNumberFormat="1" applyFont="1" applyFill="1" applyBorder="1" applyAlignment="1">
      <alignment horizontal="right"/>
    </xf>
    <xf numFmtId="0" fontId="2" fillId="2" borderId="15" xfId="1" applyFont="1" applyFill="1" applyBorder="1" applyAlignment="1">
      <alignment horizontal="right" vertical="center"/>
    </xf>
    <xf numFmtId="0" fontId="2" fillId="2" borderId="16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right" vertical="center"/>
    </xf>
    <xf numFmtId="174" fontId="2" fillId="2" borderId="6" xfId="1" applyNumberFormat="1" applyFont="1" applyFill="1" applyBorder="1" applyAlignment="1">
      <alignment horizontal="right"/>
    </xf>
    <xf numFmtId="0" fontId="2" fillId="3" borderId="31" xfId="1" applyFont="1" applyFill="1" applyBorder="1" applyAlignment="1">
      <alignment horizontal="right" vertical="center"/>
    </xf>
    <xf numFmtId="0" fontId="2" fillId="3" borderId="33" xfId="1" applyFont="1" applyFill="1" applyBorder="1" applyAlignment="1">
      <alignment horizontal="right" vertical="center"/>
    </xf>
    <xf numFmtId="0" fontId="2" fillId="3" borderId="62" xfId="1" applyFont="1" applyFill="1" applyBorder="1" applyAlignment="1">
      <alignment horizontal="right" vertical="center"/>
    </xf>
    <xf numFmtId="43" fontId="2" fillId="3" borderId="63" xfId="7" applyFont="1" applyFill="1" applyBorder="1" applyAlignment="1">
      <alignment horizontal="right"/>
    </xf>
    <xf numFmtId="0" fontId="2" fillId="0" borderId="15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174" fontId="2" fillId="0" borderId="6" xfId="1" applyNumberFormat="1" applyFont="1" applyBorder="1" applyAlignment="1">
      <alignment horizontal="right" vertical="center"/>
    </xf>
    <xf numFmtId="43" fontId="2" fillId="3" borderId="63" xfId="7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/>
    </xf>
    <xf numFmtId="177" fontId="19" fillId="4" borderId="8" xfId="7" applyNumberFormat="1" applyFont="1" applyFill="1" applyBorder="1" applyAlignment="1">
      <alignment horizontal="right"/>
    </xf>
    <xf numFmtId="0" fontId="27" fillId="0" borderId="0" xfId="0" applyFont="1"/>
    <xf numFmtId="0" fontId="28" fillId="0" borderId="0" xfId="0" applyFont="1"/>
    <xf numFmtId="0" fontId="27" fillId="0" borderId="35" xfId="0" applyFont="1" applyBorder="1"/>
    <xf numFmtId="0" fontId="17" fillId="3" borderId="31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5" fillId="0" borderId="0" xfId="0" applyFont="1" applyAlignment="1">
      <alignment horizontal="center" vertical="center" textRotation="45"/>
    </xf>
    <xf numFmtId="0" fontId="25" fillId="0" borderId="0" xfId="0" applyFont="1" applyAlignment="1">
      <alignment horizontal="center" vertical="center" textRotation="45"/>
    </xf>
    <xf numFmtId="0" fontId="8" fillId="0" borderId="36" xfId="0" applyFont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left"/>
    </xf>
    <xf numFmtId="0" fontId="17" fillId="3" borderId="31" xfId="0" applyFont="1" applyFill="1" applyBorder="1" applyAlignment="1">
      <alignment horizontal="left"/>
    </xf>
    <xf numFmtId="0" fontId="17" fillId="3" borderId="33" xfId="0" applyFont="1" applyFill="1" applyBorder="1" applyAlignment="1">
      <alignment horizontal="left"/>
    </xf>
    <xf numFmtId="0" fontId="17" fillId="3" borderId="32" xfId="0" applyFont="1" applyFill="1" applyBorder="1" applyAlignment="1">
      <alignment horizontal="left"/>
    </xf>
    <xf numFmtId="0" fontId="8" fillId="4" borderId="36" xfId="0" applyFont="1" applyFill="1" applyBorder="1" applyAlignment="1">
      <alignment horizontal="center" vertical="center" wrapText="1"/>
    </xf>
    <xf numFmtId="177" fontId="8" fillId="4" borderId="36" xfId="7" applyNumberFormat="1" applyFont="1" applyFill="1" applyBorder="1" applyAlignment="1">
      <alignment horizontal="center" vertical="center" wrapText="1"/>
    </xf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0" borderId="15" xfId="1" applyBorder="1"/>
    <xf numFmtId="0" fontId="1" fillId="0" borderId="5" xfId="1" applyBorder="1"/>
    <xf numFmtId="0" fontId="1" fillId="0" borderId="12" xfId="1" applyBorder="1"/>
    <xf numFmtId="0" fontId="1" fillId="0" borderId="7" xfId="1" applyBorder="1"/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18" fillId="3" borderId="51" xfId="0" applyFont="1" applyFill="1" applyBorder="1" applyAlignment="1">
      <alignment horizontal="center"/>
    </xf>
    <xf numFmtId="0" fontId="18" fillId="3" borderId="52" xfId="0" applyFont="1" applyFill="1" applyBorder="1" applyAlignment="1">
      <alignment horizontal="center"/>
    </xf>
    <xf numFmtId="0" fontId="18" fillId="3" borderId="53" xfId="0" applyFont="1" applyFill="1" applyBorder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Porcentagem" xfId="3" builtinId="5"/>
    <cellStyle name="Porcentagem 2" xfId="4" xr:uid="{00000000-0005-0000-0000-000004000000}"/>
    <cellStyle name="Separador de milhares 2" xfId="5" xr:uid="{00000000-0005-0000-0000-000005000000}"/>
    <cellStyle name="Vírgula" xfId="7" builtinId="3"/>
    <cellStyle name="Vírgula 2" xfId="6" xr:uid="{00000000-0005-0000-0000-000007000000}"/>
  </cellStyles>
  <dxfs count="0"/>
  <tableStyles count="0" defaultTableStyle="TableStyleMedium9" defaultPivotStyle="PivotStyleLight16"/>
  <colors>
    <mruColors>
      <color rgb="FFF6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9C46-DC08-491E-A2D0-7837E6488BAC}">
  <dimension ref="A1:F16"/>
  <sheetViews>
    <sheetView showGridLines="0" zoomScale="115" zoomScaleNormal="115" workbookViewId="0">
      <selection activeCell="E18" sqref="E18"/>
    </sheetView>
  </sheetViews>
  <sheetFormatPr defaultRowHeight="15" x14ac:dyDescent="0.25"/>
  <cols>
    <col min="1" max="1" width="13.5703125" customWidth="1"/>
    <col min="3" max="3" width="28.85546875" customWidth="1"/>
    <col min="4" max="4" width="11.85546875" customWidth="1"/>
    <col min="5" max="5" width="38.7109375" bestFit="1" customWidth="1"/>
    <col min="6" max="6" width="9.85546875" customWidth="1"/>
  </cols>
  <sheetData>
    <row r="1" spans="1:6" ht="15" customHeight="1" thickBot="1" x14ac:dyDescent="0.35">
      <c r="B1" s="362" t="s">
        <v>149</v>
      </c>
      <c r="C1" s="363"/>
      <c r="D1" s="363"/>
      <c r="E1" s="363"/>
      <c r="F1" s="364"/>
    </row>
    <row r="2" spans="1:6" ht="15.75" thickBot="1" x14ac:dyDescent="0.3">
      <c r="B2" s="328" t="s">
        <v>150</v>
      </c>
    </row>
    <row r="3" spans="1:6" ht="19.5" customHeight="1" thickBot="1" x14ac:dyDescent="0.3">
      <c r="B3" s="295" t="s">
        <v>71</v>
      </c>
      <c r="C3" s="296" t="s">
        <v>72</v>
      </c>
      <c r="D3" s="295" t="s">
        <v>97</v>
      </c>
      <c r="E3" s="296" t="s">
        <v>151</v>
      </c>
      <c r="F3" s="297" t="s">
        <v>152</v>
      </c>
    </row>
    <row r="4" spans="1:6" ht="5.25" customHeight="1" thickBot="1" x14ac:dyDescent="0.3">
      <c r="B4" s="324"/>
      <c r="C4" s="325"/>
      <c r="D4" s="326"/>
      <c r="E4" s="325"/>
      <c r="F4" s="327"/>
    </row>
    <row r="5" spans="1:6" x14ac:dyDescent="0.25">
      <c r="A5" s="365" t="s">
        <v>137</v>
      </c>
      <c r="B5" s="299" t="s">
        <v>107</v>
      </c>
      <c r="C5" s="300" t="s">
        <v>83</v>
      </c>
      <c r="D5" s="301">
        <v>40411</v>
      </c>
      <c r="E5" s="301">
        <v>9020</v>
      </c>
      <c r="F5" s="302">
        <v>4.4801552106430158</v>
      </c>
    </row>
    <row r="6" spans="1:6" x14ac:dyDescent="0.25">
      <c r="A6" s="365"/>
      <c r="B6" s="303" t="s">
        <v>108</v>
      </c>
      <c r="C6" s="294" t="s">
        <v>84</v>
      </c>
      <c r="D6" s="293">
        <v>29449</v>
      </c>
      <c r="E6" s="293">
        <v>9071</v>
      </c>
      <c r="F6" s="304">
        <v>3.2464998346378571</v>
      </c>
    </row>
    <row r="7" spans="1:6" x14ac:dyDescent="0.25">
      <c r="A7" s="365"/>
      <c r="B7" s="303" t="s">
        <v>145</v>
      </c>
      <c r="C7" s="294" t="s">
        <v>85</v>
      </c>
      <c r="D7" s="293">
        <v>74407</v>
      </c>
      <c r="E7" s="293">
        <v>21481</v>
      </c>
      <c r="F7" s="304">
        <v>3.4638517759880827</v>
      </c>
    </row>
    <row r="8" spans="1:6" x14ac:dyDescent="0.25">
      <c r="A8" s="365"/>
      <c r="B8" s="303" t="s">
        <v>146</v>
      </c>
      <c r="C8" s="294" t="s">
        <v>86</v>
      </c>
      <c r="D8" s="293">
        <v>36075</v>
      </c>
      <c r="E8" s="293">
        <v>13207</v>
      </c>
      <c r="F8" s="304">
        <v>2.7315060195350949</v>
      </c>
    </row>
    <row r="9" spans="1:6" x14ac:dyDescent="0.25">
      <c r="A9" s="365"/>
      <c r="B9" s="303" t="s">
        <v>109</v>
      </c>
      <c r="C9" s="294" t="s">
        <v>87</v>
      </c>
      <c r="D9" s="293">
        <v>42309</v>
      </c>
      <c r="E9" s="293">
        <v>20462</v>
      </c>
      <c r="F9" s="304">
        <v>2.0676864431629363</v>
      </c>
    </row>
    <row r="10" spans="1:6" x14ac:dyDescent="0.25">
      <c r="A10" s="365"/>
      <c r="B10" s="303" t="s">
        <v>110</v>
      </c>
      <c r="C10" s="294" t="s">
        <v>88</v>
      </c>
      <c r="D10" s="293">
        <v>40284</v>
      </c>
      <c r="E10" s="293">
        <v>17025</v>
      </c>
      <c r="F10" s="304">
        <v>2.3661674008810571</v>
      </c>
    </row>
    <row r="11" spans="1:6" ht="15.75" thickBot="1" x14ac:dyDescent="0.3">
      <c r="A11" s="365"/>
      <c r="B11" s="315" t="s">
        <v>129</v>
      </c>
      <c r="C11" s="316" t="s">
        <v>89</v>
      </c>
      <c r="D11" s="317">
        <v>19427</v>
      </c>
      <c r="E11" s="317">
        <v>4105</v>
      </c>
      <c r="F11" s="318">
        <v>4.7325213154689401</v>
      </c>
    </row>
    <row r="12" spans="1:6" ht="5.25" customHeight="1" thickBot="1" x14ac:dyDescent="0.3">
      <c r="A12" s="298"/>
      <c r="B12" s="324"/>
      <c r="C12" s="325"/>
      <c r="D12" s="326"/>
      <c r="E12" s="325"/>
      <c r="F12" s="327"/>
    </row>
    <row r="13" spans="1:6" x14ac:dyDescent="0.25">
      <c r="A13" s="366" t="s">
        <v>153</v>
      </c>
      <c r="B13" s="319" t="s">
        <v>104</v>
      </c>
      <c r="C13" s="320" t="s">
        <v>80</v>
      </c>
      <c r="D13" s="321">
        <v>42346.0910993867</v>
      </c>
      <c r="E13" s="322">
        <v>7935</v>
      </c>
      <c r="F13" s="323">
        <v>5.336621436595677</v>
      </c>
    </row>
    <row r="14" spans="1:6" x14ac:dyDescent="0.25">
      <c r="A14" s="366"/>
      <c r="B14" s="305" t="s">
        <v>105</v>
      </c>
      <c r="C14" s="306" t="s">
        <v>81</v>
      </c>
      <c r="D14" s="307">
        <v>25587.818381533656</v>
      </c>
      <c r="E14" s="308">
        <v>11669</v>
      </c>
      <c r="F14" s="309">
        <v>2.1928030149570361</v>
      </c>
    </row>
    <row r="15" spans="1:6" ht="15.75" thickBot="1" x14ac:dyDescent="0.3">
      <c r="A15" s="366"/>
      <c r="B15" s="310" t="s">
        <v>106</v>
      </c>
      <c r="C15" s="311" t="s">
        <v>82</v>
      </c>
      <c r="D15" s="312">
        <v>19083.367945161659</v>
      </c>
      <c r="E15" s="313">
        <v>5060</v>
      </c>
      <c r="F15" s="314">
        <v>3.7714165899528971</v>
      </c>
    </row>
    <row r="16" spans="1:6" x14ac:dyDescent="0.25">
      <c r="B16" s="46"/>
      <c r="D16" s="47" t="s">
        <v>162</v>
      </c>
    </row>
  </sheetData>
  <mergeCells count="3">
    <mergeCell ref="B1:F1"/>
    <mergeCell ref="A5:A11"/>
    <mergeCell ref="A13:A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showGridLines="0" zoomScaleNormal="100" zoomScaleSheetLayoutView="100" workbookViewId="0">
      <selection activeCell="F27" sqref="F27"/>
    </sheetView>
  </sheetViews>
  <sheetFormatPr defaultRowHeight="15" x14ac:dyDescent="0.25"/>
  <cols>
    <col min="1" max="1" width="9.140625" style="15"/>
    <col min="2" max="2" width="25.28515625" style="15" bestFit="1" customWidth="1"/>
    <col min="3" max="3" width="9" style="17" bestFit="1" customWidth="1"/>
    <col min="4" max="4" width="8.7109375" style="17" bestFit="1" customWidth="1"/>
    <col min="5" max="5" width="10.7109375" style="15" customWidth="1"/>
    <col min="6" max="6" width="8.42578125" style="15" bestFit="1" customWidth="1"/>
    <col min="7" max="7" width="7.28515625" style="15" bestFit="1" customWidth="1"/>
    <col min="8" max="8" width="8.85546875" style="15" bestFit="1" customWidth="1"/>
    <col min="9" max="9" width="8.42578125" style="15" bestFit="1" customWidth="1"/>
    <col min="10" max="10" width="7.28515625" style="15" bestFit="1" customWidth="1"/>
    <col min="11" max="11" width="8.85546875" style="15" bestFit="1" customWidth="1"/>
    <col min="12" max="12" width="8.42578125" style="15" bestFit="1" customWidth="1"/>
    <col min="13" max="13" width="7.28515625" style="15" bestFit="1" customWidth="1"/>
    <col min="14" max="14" width="8.85546875" style="15" bestFit="1" customWidth="1"/>
    <col min="15" max="15" width="3.140625" style="15" customWidth="1"/>
    <col min="16" max="16" width="8.42578125" style="15" bestFit="1" customWidth="1"/>
    <col min="17" max="17" width="7.28515625" style="15" bestFit="1" customWidth="1"/>
    <col min="18" max="18" width="8.85546875" style="15" bestFit="1" customWidth="1"/>
    <col min="19" max="19" width="7.42578125" style="15" bestFit="1" customWidth="1"/>
    <col min="20" max="257" width="9.140625" style="15"/>
    <col min="258" max="258" width="25.28515625" style="15" bestFit="1" customWidth="1"/>
    <col min="259" max="259" width="26.7109375" style="15" bestFit="1" customWidth="1"/>
    <col min="260" max="260" width="26.85546875" style="15" bestFit="1" customWidth="1"/>
    <col min="261" max="261" width="26.7109375" style="15" bestFit="1" customWidth="1"/>
    <col min="262" max="262" width="26.85546875" style="15" bestFit="1" customWidth="1"/>
    <col min="263" max="513" width="9.140625" style="15"/>
    <col min="514" max="514" width="25.28515625" style="15" bestFit="1" customWidth="1"/>
    <col min="515" max="515" width="26.7109375" style="15" bestFit="1" customWidth="1"/>
    <col min="516" max="516" width="26.85546875" style="15" bestFit="1" customWidth="1"/>
    <col min="517" max="517" width="26.7109375" style="15" bestFit="1" customWidth="1"/>
    <col min="518" max="518" width="26.85546875" style="15" bestFit="1" customWidth="1"/>
    <col min="519" max="769" width="9.140625" style="15"/>
    <col min="770" max="770" width="25.28515625" style="15" bestFit="1" customWidth="1"/>
    <col min="771" max="771" width="26.7109375" style="15" bestFit="1" customWidth="1"/>
    <col min="772" max="772" width="26.85546875" style="15" bestFit="1" customWidth="1"/>
    <col min="773" max="773" width="26.7109375" style="15" bestFit="1" customWidth="1"/>
    <col min="774" max="774" width="26.85546875" style="15" bestFit="1" customWidth="1"/>
    <col min="775" max="1025" width="9.140625" style="15"/>
    <col min="1026" max="1026" width="25.28515625" style="15" bestFit="1" customWidth="1"/>
    <col min="1027" max="1027" width="26.7109375" style="15" bestFit="1" customWidth="1"/>
    <col min="1028" max="1028" width="26.85546875" style="15" bestFit="1" customWidth="1"/>
    <col min="1029" max="1029" width="26.7109375" style="15" bestFit="1" customWidth="1"/>
    <col min="1030" max="1030" width="26.85546875" style="15" bestFit="1" customWidth="1"/>
    <col min="1031" max="1281" width="9.140625" style="15"/>
    <col min="1282" max="1282" width="25.28515625" style="15" bestFit="1" customWidth="1"/>
    <col min="1283" max="1283" width="26.7109375" style="15" bestFit="1" customWidth="1"/>
    <col min="1284" max="1284" width="26.85546875" style="15" bestFit="1" customWidth="1"/>
    <col min="1285" max="1285" width="26.7109375" style="15" bestFit="1" customWidth="1"/>
    <col min="1286" max="1286" width="26.85546875" style="15" bestFit="1" customWidth="1"/>
    <col min="1287" max="1537" width="9.140625" style="15"/>
    <col min="1538" max="1538" width="25.28515625" style="15" bestFit="1" customWidth="1"/>
    <col min="1539" max="1539" width="26.7109375" style="15" bestFit="1" customWidth="1"/>
    <col min="1540" max="1540" width="26.85546875" style="15" bestFit="1" customWidth="1"/>
    <col min="1541" max="1541" width="26.7109375" style="15" bestFit="1" customWidth="1"/>
    <col min="1542" max="1542" width="26.85546875" style="15" bestFit="1" customWidth="1"/>
    <col min="1543" max="1793" width="9.140625" style="15"/>
    <col min="1794" max="1794" width="25.28515625" style="15" bestFit="1" customWidth="1"/>
    <col min="1795" max="1795" width="26.7109375" style="15" bestFit="1" customWidth="1"/>
    <col min="1796" max="1796" width="26.85546875" style="15" bestFit="1" customWidth="1"/>
    <col min="1797" max="1797" width="26.7109375" style="15" bestFit="1" customWidth="1"/>
    <col min="1798" max="1798" width="26.85546875" style="15" bestFit="1" customWidth="1"/>
    <col min="1799" max="2049" width="9.140625" style="15"/>
    <col min="2050" max="2050" width="25.28515625" style="15" bestFit="1" customWidth="1"/>
    <col min="2051" max="2051" width="26.7109375" style="15" bestFit="1" customWidth="1"/>
    <col min="2052" max="2052" width="26.85546875" style="15" bestFit="1" customWidth="1"/>
    <col min="2053" max="2053" width="26.7109375" style="15" bestFit="1" customWidth="1"/>
    <col min="2054" max="2054" width="26.85546875" style="15" bestFit="1" customWidth="1"/>
    <col min="2055" max="2305" width="9.140625" style="15"/>
    <col min="2306" max="2306" width="25.28515625" style="15" bestFit="1" customWidth="1"/>
    <col min="2307" max="2307" width="26.7109375" style="15" bestFit="1" customWidth="1"/>
    <col min="2308" max="2308" width="26.85546875" style="15" bestFit="1" customWidth="1"/>
    <col min="2309" max="2309" width="26.7109375" style="15" bestFit="1" customWidth="1"/>
    <col min="2310" max="2310" width="26.85546875" style="15" bestFit="1" customWidth="1"/>
    <col min="2311" max="2561" width="9.140625" style="15"/>
    <col min="2562" max="2562" width="25.28515625" style="15" bestFit="1" customWidth="1"/>
    <col min="2563" max="2563" width="26.7109375" style="15" bestFit="1" customWidth="1"/>
    <col min="2564" max="2564" width="26.85546875" style="15" bestFit="1" customWidth="1"/>
    <col min="2565" max="2565" width="26.7109375" style="15" bestFit="1" customWidth="1"/>
    <col min="2566" max="2566" width="26.85546875" style="15" bestFit="1" customWidth="1"/>
    <col min="2567" max="2817" width="9.140625" style="15"/>
    <col min="2818" max="2818" width="25.28515625" style="15" bestFit="1" customWidth="1"/>
    <col min="2819" max="2819" width="26.7109375" style="15" bestFit="1" customWidth="1"/>
    <col min="2820" max="2820" width="26.85546875" style="15" bestFit="1" customWidth="1"/>
    <col min="2821" max="2821" width="26.7109375" style="15" bestFit="1" customWidth="1"/>
    <col min="2822" max="2822" width="26.85546875" style="15" bestFit="1" customWidth="1"/>
    <col min="2823" max="3073" width="9.140625" style="15"/>
    <col min="3074" max="3074" width="25.28515625" style="15" bestFit="1" customWidth="1"/>
    <col min="3075" max="3075" width="26.7109375" style="15" bestFit="1" customWidth="1"/>
    <col min="3076" max="3076" width="26.85546875" style="15" bestFit="1" customWidth="1"/>
    <col min="3077" max="3077" width="26.7109375" style="15" bestFit="1" customWidth="1"/>
    <col min="3078" max="3078" width="26.85546875" style="15" bestFit="1" customWidth="1"/>
    <col min="3079" max="3329" width="9.140625" style="15"/>
    <col min="3330" max="3330" width="25.28515625" style="15" bestFit="1" customWidth="1"/>
    <col min="3331" max="3331" width="26.7109375" style="15" bestFit="1" customWidth="1"/>
    <col min="3332" max="3332" width="26.85546875" style="15" bestFit="1" customWidth="1"/>
    <col min="3333" max="3333" width="26.7109375" style="15" bestFit="1" customWidth="1"/>
    <col min="3334" max="3334" width="26.85546875" style="15" bestFit="1" customWidth="1"/>
    <col min="3335" max="3585" width="9.140625" style="15"/>
    <col min="3586" max="3586" width="25.28515625" style="15" bestFit="1" customWidth="1"/>
    <col min="3587" max="3587" width="26.7109375" style="15" bestFit="1" customWidth="1"/>
    <col min="3588" max="3588" width="26.85546875" style="15" bestFit="1" customWidth="1"/>
    <col min="3589" max="3589" width="26.7109375" style="15" bestFit="1" customWidth="1"/>
    <col min="3590" max="3590" width="26.85546875" style="15" bestFit="1" customWidth="1"/>
    <col min="3591" max="3841" width="9.140625" style="15"/>
    <col min="3842" max="3842" width="25.28515625" style="15" bestFit="1" customWidth="1"/>
    <col min="3843" max="3843" width="26.7109375" style="15" bestFit="1" customWidth="1"/>
    <col min="3844" max="3844" width="26.85546875" style="15" bestFit="1" customWidth="1"/>
    <col min="3845" max="3845" width="26.7109375" style="15" bestFit="1" customWidth="1"/>
    <col min="3846" max="3846" width="26.85546875" style="15" bestFit="1" customWidth="1"/>
    <col min="3847" max="4097" width="9.140625" style="15"/>
    <col min="4098" max="4098" width="25.28515625" style="15" bestFit="1" customWidth="1"/>
    <col min="4099" max="4099" width="26.7109375" style="15" bestFit="1" customWidth="1"/>
    <col min="4100" max="4100" width="26.85546875" style="15" bestFit="1" customWidth="1"/>
    <col min="4101" max="4101" width="26.7109375" style="15" bestFit="1" customWidth="1"/>
    <col min="4102" max="4102" width="26.85546875" style="15" bestFit="1" customWidth="1"/>
    <col min="4103" max="4353" width="9.140625" style="15"/>
    <col min="4354" max="4354" width="25.28515625" style="15" bestFit="1" customWidth="1"/>
    <col min="4355" max="4355" width="26.7109375" style="15" bestFit="1" customWidth="1"/>
    <col min="4356" max="4356" width="26.85546875" style="15" bestFit="1" customWidth="1"/>
    <col min="4357" max="4357" width="26.7109375" style="15" bestFit="1" customWidth="1"/>
    <col min="4358" max="4358" width="26.85546875" style="15" bestFit="1" customWidth="1"/>
    <col min="4359" max="4609" width="9.140625" style="15"/>
    <col min="4610" max="4610" width="25.28515625" style="15" bestFit="1" customWidth="1"/>
    <col min="4611" max="4611" width="26.7109375" style="15" bestFit="1" customWidth="1"/>
    <col min="4612" max="4612" width="26.85546875" style="15" bestFit="1" customWidth="1"/>
    <col min="4613" max="4613" width="26.7109375" style="15" bestFit="1" customWidth="1"/>
    <col min="4614" max="4614" width="26.85546875" style="15" bestFit="1" customWidth="1"/>
    <col min="4615" max="4865" width="9.140625" style="15"/>
    <col min="4866" max="4866" width="25.28515625" style="15" bestFit="1" customWidth="1"/>
    <col min="4867" max="4867" width="26.7109375" style="15" bestFit="1" customWidth="1"/>
    <col min="4868" max="4868" width="26.85546875" style="15" bestFit="1" customWidth="1"/>
    <col min="4869" max="4869" width="26.7109375" style="15" bestFit="1" customWidth="1"/>
    <col min="4870" max="4870" width="26.85546875" style="15" bestFit="1" customWidth="1"/>
    <col min="4871" max="5121" width="9.140625" style="15"/>
    <col min="5122" max="5122" width="25.28515625" style="15" bestFit="1" customWidth="1"/>
    <col min="5123" max="5123" width="26.7109375" style="15" bestFit="1" customWidth="1"/>
    <col min="5124" max="5124" width="26.85546875" style="15" bestFit="1" customWidth="1"/>
    <col min="5125" max="5125" width="26.7109375" style="15" bestFit="1" customWidth="1"/>
    <col min="5126" max="5126" width="26.85546875" style="15" bestFit="1" customWidth="1"/>
    <col min="5127" max="5377" width="9.140625" style="15"/>
    <col min="5378" max="5378" width="25.28515625" style="15" bestFit="1" customWidth="1"/>
    <col min="5379" max="5379" width="26.7109375" style="15" bestFit="1" customWidth="1"/>
    <col min="5380" max="5380" width="26.85546875" style="15" bestFit="1" customWidth="1"/>
    <col min="5381" max="5381" width="26.7109375" style="15" bestFit="1" customWidth="1"/>
    <col min="5382" max="5382" width="26.85546875" style="15" bestFit="1" customWidth="1"/>
    <col min="5383" max="5633" width="9.140625" style="15"/>
    <col min="5634" max="5634" width="25.28515625" style="15" bestFit="1" customWidth="1"/>
    <col min="5635" max="5635" width="26.7109375" style="15" bestFit="1" customWidth="1"/>
    <col min="5636" max="5636" width="26.85546875" style="15" bestFit="1" customWidth="1"/>
    <col min="5637" max="5637" width="26.7109375" style="15" bestFit="1" customWidth="1"/>
    <col min="5638" max="5638" width="26.85546875" style="15" bestFit="1" customWidth="1"/>
    <col min="5639" max="5889" width="9.140625" style="15"/>
    <col min="5890" max="5890" width="25.28515625" style="15" bestFit="1" customWidth="1"/>
    <col min="5891" max="5891" width="26.7109375" style="15" bestFit="1" customWidth="1"/>
    <col min="5892" max="5892" width="26.85546875" style="15" bestFit="1" customWidth="1"/>
    <col min="5893" max="5893" width="26.7109375" style="15" bestFit="1" customWidth="1"/>
    <col min="5894" max="5894" width="26.85546875" style="15" bestFit="1" customWidth="1"/>
    <col min="5895" max="6145" width="9.140625" style="15"/>
    <col min="6146" max="6146" width="25.28515625" style="15" bestFit="1" customWidth="1"/>
    <col min="6147" max="6147" width="26.7109375" style="15" bestFit="1" customWidth="1"/>
    <col min="6148" max="6148" width="26.85546875" style="15" bestFit="1" customWidth="1"/>
    <col min="6149" max="6149" width="26.7109375" style="15" bestFit="1" customWidth="1"/>
    <col min="6150" max="6150" width="26.85546875" style="15" bestFit="1" customWidth="1"/>
    <col min="6151" max="6401" width="9.140625" style="15"/>
    <col min="6402" max="6402" width="25.28515625" style="15" bestFit="1" customWidth="1"/>
    <col min="6403" max="6403" width="26.7109375" style="15" bestFit="1" customWidth="1"/>
    <col min="6404" max="6404" width="26.85546875" style="15" bestFit="1" customWidth="1"/>
    <col min="6405" max="6405" width="26.7109375" style="15" bestFit="1" customWidth="1"/>
    <col min="6406" max="6406" width="26.85546875" style="15" bestFit="1" customWidth="1"/>
    <col min="6407" max="6657" width="9.140625" style="15"/>
    <col min="6658" max="6658" width="25.28515625" style="15" bestFit="1" customWidth="1"/>
    <col min="6659" max="6659" width="26.7109375" style="15" bestFit="1" customWidth="1"/>
    <col min="6660" max="6660" width="26.85546875" style="15" bestFit="1" customWidth="1"/>
    <col min="6661" max="6661" width="26.7109375" style="15" bestFit="1" customWidth="1"/>
    <col min="6662" max="6662" width="26.85546875" style="15" bestFit="1" customWidth="1"/>
    <col min="6663" max="6913" width="9.140625" style="15"/>
    <col min="6914" max="6914" width="25.28515625" style="15" bestFit="1" customWidth="1"/>
    <col min="6915" max="6915" width="26.7109375" style="15" bestFit="1" customWidth="1"/>
    <col min="6916" max="6916" width="26.85546875" style="15" bestFit="1" customWidth="1"/>
    <col min="6917" max="6917" width="26.7109375" style="15" bestFit="1" customWidth="1"/>
    <col min="6918" max="6918" width="26.85546875" style="15" bestFit="1" customWidth="1"/>
    <col min="6919" max="7169" width="9.140625" style="15"/>
    <col min="7170" max="7170" width="25.28515625" style="15" bestFit="1" customWidth="1"/>
    <col min="7171" max="7171" width="26.7109375" style="15" bestFit="1" customWidth="1"/>
    <col min="7172" max="7172" width="26.85546875" style="15" bestFit="1" customWidth="1"/>
    <col min="7173" max="7173" width="26.7109375" style="15" bestFit="1" customWidth="1"/>
    <col min="7174" max="7174" width="26.85546875" style="15" bestFit="1" customWidth="1"/>
    <col min="7175" max="7425" width="9.140625" style="15"/>
    <col min="7426" max="7426" width="25.28515625" style="15" bestFit="1" customWidth="1"/>
    <col min="7427" max="7427" width="26.7109375" style="15" bestFit="1" customWidth="1"/>
    <col min="7428" max="7428" width="26.85546875" style="15" bestFit="1" customWidth="1"/>
    <col min="7429" max="7429" width="26.7109375" style="15" bestFit="1" customWidth="1"/>
    <col min="7430" max="7430" width="26.85546875" style="15" bestFit="1" customWidth="1"/>
    <col min="7431" max="7681" width="9.140625" style="15"/>
    <col min="7682" max="7682" width="25.28515625" style="15" bestFit="1" customWidth="1"/>
    <col min="7683" max="7683" width="26.7109375" style="15" bestFit="1" customWidth="1"/>
    <col min="7684" max="7684" width="26.85546875" style="15" bestFit="1" customWidth="1"/>
    <col min="7685" max="7685" width="26.7109375" style="15" bestFit="1" customWidth="1"/>
    <col min="7686" max="7686" width="26.85546875" style="15" bestFit="1" customWidth="1"/>
    <col min="7687" max="7937" width="9.140625" style="15"/>
    <col min="7938" max="7938" width="25.28515625" style="15" bestFit="1" customWidth="1"/>
    <col min="7939" max="7939" width="26.7109375" style="15" bestFit="1" customWidth="1"/>
    <col min="7940" max="7940" width="26.85546875" style="15" bestFit="1" customWidth="1"/>
    <col min="7941" max="7941" width="26.7109375" style="15" bestFit="1" customWidth="1"/>
    <col min="7942" max="7942" width="26.85546875" style="15" bestFit="1" customWidth="1"/>
    <col min="7943" max="8193" width="9.140625" style="15"/>
    <col min="8194" max="8194" width="25.28515625" style="15" bestFit="1" customWidth="1"/>
    <col min="8195" max="8195" width="26.7109375" style="15" bestFit="1" customWidth="1"/>
    <col min="8196" max="8196" width="26.85546875" style="15" bestFit="1" customWidth="1"/>
    <col min="8197" max="8197" width="26.7109375" style="15" bestFit="1" customWidth="1"/>
    <col min="8198" max="8198" width="26.85546875" style="15" bestFit="1" customWidth="1"/>
    <col min="8199" max="8449" width="9.140625" style="15"/>
    <col min="8450" max="8450" width="25.28515625" style="15" bestFit="1" customWidth="1"/>
    <col min="8451" max="8451" width="26.7109375" style="15" bestFit="1" customWidth="1"/>
    <col min="8452" max="8452" width="26.85546875" style="15" bestFit="1" customWidth="1"/>
    <col min="8453" max="8453" width="26.7109375" style="15" bestFit="1" customWidth="1"/>
    <col min="8454" max="8454" width="26.85546875" style="15" bestFit="1" customWidth="1"/>
    <col min="8455" max="8705" width="9.140625" style="15"/>
    <col min="8706" max="8706" width="25.28515625" style="15" bestFit="1" customWidth="1"/>
    <col min="8707" max="8707" width="26.7109375" style="15" bestFit="1" customWidth="1"/>
    <col min="8708" max="8708" width="26.85546875" style="15" bestFit="1" customWidth="1"/>
    <col min="8709" max="8709" width="26.7109375" style="15" bestFit="1" customWidth="1"/>
    <col min="8710" max="8710" width="26.85546875" style="15" bestFit="1" customWidth="1"/>
    <col min="8711" max="8961" width="9.140625" style="15"/>
    <col min="8962" max="8962" width="25.28515625" style="15" bestFit="1" customWidth="1"/>
    <col min="8963" max="8963" width="26.7109375" style="15" bestFit="1" customWidth="1"/>
    <col min="8964" max="8964" width="26.85546875" style="15" bestFit="1" customWidth="1"/>
    <col min="8965" max="8965" width="26.7109375" style="15" bestFit="1" customWidth="1"/>
    <col min="8966" max="8966" width="26.85546875" style="15" bestFit="1" customWidth="1"/>
    <col min="8967" max="9217" width="9.140625" style="15"/>
    <col min="9218" max="9218" width="25.28515625" style="15" bestFit="1" customWidth="1"/>
    <col min="9219" max="9219" width="26.7109375" style="15" bestFit="1" customWidth="1"/>
    <col min="9220" max="9220" width="26.85546875" style="15" bestFit="1" customWidth="1"/>
    <col min="9221" max="9221" width="26.7109375" style="15" bestFit="1" customWidth="1"/>
    <col min="9222" max="9222" width="26.85546875" style="15" bestFit="1" customWidth="1"/>
    <col min="9223" max="9473" width="9.140625" style="15"/>
    <col min="9474" max="9474" width="25.28515625" style="15" bestFit="1" customWidth="1"/>
    <col min="9475" max="9475" width="26.7109375" style="15" bestFit="1" customWidth="1"/>
    <col min="9476" max="9476" width="26.85546875" style="15" bestFit="1" customWidth="1"/>
    <col min="9477" max="9477" width="26.7109375" style="15" bestFit="1" customWidth="1"/>
    <col min="9478" max="9478" width="26.85546875" style="15" bestFit="1" customWidth="1"/>
    <col min="9479" max="9729" width="9.140625" style="15"/>
    <col min="9730" max="9730" width="25.28515625" style="15" bestFit="1" customWidth="1"/>
    <col min="9731" max="9731" width="26.7109375" style="15" bestFit="1" customWidth="1"/>
    <col min="9732" max="9732" width="26.85546875" style="15" bestFit="1" customWidth="1"/>
    <col min="9733" max="9733" width="26.7109375" style="15" bestFit="1" customWidth="1"/>
    <col min="9734" max="9734" width="26.85546875" style="15" bestFit="1" customWidth="1"/>
    <col min="9735" max="9985" width="9.140625" style="15"/>
    <col min="9986" max="9986" width="25.28515625" style="15" bestFit="1" customWidth="1"/>
    <col min="9987" max="9987" width="26.7109375" style="15" bestFit="1" customWidth="1"/>
    <col min="9988" max="9988" width="26.85546875" style="15" bestFit="1" customWidth="1"/>
    <col min="9989" max="9989" width="26.7109375" style="15" bestFit="1" customWidth="1"/>
    <col min="9990" max="9990" width="26.85546875" style="15" bestFit="1" customWidth="1"/>
    <col min="9991" max="10241" width="9.140625" style="15"/>
    <col min="10242" max="10242" width="25.28515625" style="15" bestFit="1" customWidth="1"/>
    <col min="10243" max="10243" width="26.7109375" style="15" bestFit="1" customWidth="1"/>
    <col min="10244" max="10244" width="26.85546875" style="15" bestFit="1" customWidth="1"/>
    <col min="10245" max="10245" width="26.7109375" style="15" bestFit="1" customWidth="1"/>
    <col min="10246" max="10246" width="26.85546875" style="15" bestFit="1" customWidth="1"/>
    <col min="10247" max="10497" width="9.140625" style="15"/>
    <col min="10498" max="10498" width="25.28515625" style="15" bestFit="1" customWidth="1"/>
    <col min="10499" max="10499" width="26.7109375" style="15" bestFit="1" customWidth="1"/>
    <col min="10500" max="10500" width="26.85546875" style="15" bestFit="1" customWidth="1"/>
    <col min="10501" max="10501" width="26.7109375" style="15" bestFit="1" customWidth="1"/>
    <col min="10502" max="10502" width="26.85546875" style="15" bestFit="1" customWidth="1"/>
    <col min="10503" max="10753" width="9.140625" style="15"/>
    <col min="10754" max="10754" width="25.28515625" style="15" bestFit="1" customWidth="1"/>
    <col min="10755" max="10755" width="26.7109375" style="15" bestFit="1" customWidth="1"/>
    <col min="10756" max="10756" width="26.85546875" style="15" bestFit="1" customWidth="1"/>
    <col min="10757" max="10757" width="26.7109375" style="15" bestFit="1" customWidth="1"/>
    <col min="10758" max="10758" width="26.85546875" style="15" bestFit="1" customWidth="1"/>
    <col min="10759" max="11009" width="9.140625" style="15"/>
    <col min="11010" max="11010" width="25.28515625" style="15" bestFit="1" customWidth="1"/>
    <col min="11011" max="11011" width="26.7109375" style="15" bestFit="1" customWidth="1"/>
    <col min="11012" max="11012" width="26.85546875" style="15" bestFit="1" customWidth="1"/>
    <col min="11013" max="11013" width="26.7109375" style="15" bestFit="1" customWidth="1"/>
    <col min="11014" max="11014" width="26.85546875" style="15" bestFit="1" customWidth="1"/>
    <col min="11015" max="11265" width="9.140625" style="15"/>
    <col min="11266" max="11266" width="25.28515625" style="15" bestFit="1" customWidth="1"/>
    <col min="11267" max="11267" width="26.7109375" style="15" bestFit="1" customWidth="1"/>
    <col min="11268" max="11268" width="26.85546875" style="15" bestFit="1" customWidth="1"/>
    <col min="11269" max="11269" width="26.7109375" style="15" bestFit="1" customWidth="1"/>
    <col min="11270" max="11270" width="26.85546875" style="15" bestFit="1" customWidth="1"/>
    <col min="11271" max="11521" width="9.140625" style="15"/>
    <col min="11522" max="11522" width="25.28515625" style="15" bestFit="1" customWidth="1"/>
    <col min="11523" max="11523" width="26.7109375" style="15" bestFit="1" customWidth="1"/>
    <col min="11524" max="11524" width="26.85546875" style="15" bestFit="1" customWidth="1"/>
    <col min="11525" max="11525" width="26.7109375" style="15" bestFit="1" customWidth="1"/>
    <col min="11526" max="11526" width="26.85546875" style="15" bestFit="1" customWidth="1"/>
    <col min="11527" max="11777" width="9.140625" style="15"/>
    <col min="11778" max="11778" width="25.28515625" style="15" bestFit="1" customWidth="1"/>
    <col min="11779" max="11779" width="26.7109375" style="15" bestFit="1" customWidth="1"/>
    <col min="11780" max="11780" width="26.85546875" style="15" bestFit="1" customWidth="1"/>
    <col min="11781" max="11781" width="26.7109375" style="15" bestFit="1" customWidth="1"/>
    <col min="11782" max="11782" width="26.85546875" style="15" bestFit="1" customWidth="1"/>
    <col min="11783" max="12033" width="9.140625" style="15"/>
    <col min="12034" max="12034" width="25.28515625" style="15" bestFit="1" customWidth="1"/>
    <col min="12035" max="12035" width="26.7109375" style="15" bestFit="1" customWidth="1"/>
    <col min="12036" max="12036" width="26.85546875" style="15" bestFit="1" customWidth="1"/>
    <col min="12037" max="12037" width="26.7109375" style="15" bestFit="1" customWidth="1"/>
    <col min="12038" max="12038" width="26.85546875" style="15" bestFit="1" customWidth="1"/>
    <col min="12039" max="12289" width="9.140625" style="15"/>
    <col min="12290" max="12290" width="25.28515625" style="15" bestFit="1" customWidth="1"/>
    <col min="12291" max="12291" width="26.7109375" style="15" bestFit="1" customWidth="1"/>
    <col min="12292" max="12292" width="26.85546875" style="15" bestFit="1" customWidth="1"/>
    <col min="12293" max="12293" width="26.7109375" style="15" bestFit="1" customWidth="1"/>
    <col min="12294" max="12294" width="26.85546875" style="15" bestFit="1" customWidth="1"/>
    <col min="12295" max="12545" width="9.140625" style="15"/>
    <col min="12546" max="12546" width="25.28515625" style="15" bestFit="1" customWidth="1"/>
    <col min="12547" max="12547" width="26.7109375" style="15" bestFit="1" customWidth="1"/>
    <col min="12548" max="12548" width="26.85546875" style="15" bestFit="1" customWidth="1"/>
    <col min="12549" max="12549" width="26.7109375" style="15" bestFit="1" customWidth="1"/>
    <col min="12550" max="12550" width="26.85546875" style="15" bestFit="1" customWidth="1"/>
    <col min="12551" max="12801" width="9.140625" style="15"/>
    <col min="12802" max="12802" width="25.28515625" style="15" bestFit="1" customWidth="1"/>
    <col min="12803" max="12803" width="26.7109375" style="15" bestFit="1" customWidth="1"/>
    <col min="12804" max="12804" width="26.85546875" style="15" bestFit="1" customWidth="1"/>
    <col min="12805" max="12805" width="26.7109375" style="15" bestFit="1" customWidth="1"/>
    <col min="12806" max="12806" width="26.85546875" style="15" bestFit="1" customWidth="1"/>
    <col min="12807" max="13057" width="9.140625" style="15"/>
    <col min="13058" max="13058" width="25.28515625" style="15" bestFit="1" customWidth="1"/>
    <col min="13059" max="13059" width="26.7109375" style="15" bestFit="1" customWidth="1"/>
    <col min="13060" max="13060" width="26.85546875" style="15" bestFit="1" customWidth="1"/>
    <col min="13061" max="13061" width="26.7109375" style="15" bestFit="1" customWidth="1"/>
    <col min="13062" max="13062" width="26.85546875" style="15" bestFit="1" customWidth="1"/>
    <col min="13063" max="13313" width="9.140625" style="15"/>
    <col min="13314" max="13314" width="25.28515625" style="15" bestFit="1" customWidth="1"/>
    <col min="13315" max="13315" width="26.7109375" style="15" bestFit="1" customWidth="1"/>
    <col min="13316" max="13316" width="26.85546875" style="15" bestFit="1" customWidth="1"/>
    <col min="13317" max="13317" width="26.7109375" style="15" bestFit="1" customWidth="1"/>
    <col min="13318" max="13318" width="26.85546875" style="15" bestFit="1" customWidth="1"/>
    <col min="13319" max="13569" width="9.140625" style="15"/>
    <col min="13570" max="13570" width="25.28515625" style="15" bestFit="1" customWidth="1"/>
    <col min="13571" max="13571" width="26.7109375" style="15" bestFit="1" customWidth="1"/>
    <col min="13572" max="13572" width="26.85546875" style="15" bestFit="1" customWidth="1"/>
    <col min="13573" max="13573" width="26.7109375" style="15" bestFit="1" customWidth="1"/>
    <col min="13574" max="13574" width="26.85546875" style="15" bestFit="1" customWidth="1"/>
    <col min="13575" max="13825" width="9.140625" style="15"/>
    <col min="13826" max="13826" width="25.28515625" style="15" bestFit="1" customWidth="1"/>
    <col min="13827" max="13827" width="26.7109375" style="15" bestFit="1" customWidth="1"/>
    <col min="13828" max="13828" width="26.85546875" style="15" bestFit="1" customWidth="1"/>
    <col min="13829" max="13829" width="26.7109375" style="15" bestFit="1" customWidth="1"/>
    <col min="13830" max="13830" width="26.85546875" style="15" bestFit="1" customWidth="1"/>
    <col min="13831" max="14081" width="9.140625" style="15"/>
    <col min="14082" max="14082" width="25.28515625" style="15" bestFit="1" customWidth="1"/>
    <col min="14083" max="14083" width="26.7109375" style="15" bestFit="1" customWidth="1"/>
    <col min="14084" max="14084" width="26.85546875" style="15" bestFit="1" customWidth="1"/>
    <col min="14085" max="14085" width="26.7109375" style="15" bestFit="1" customWidth="1"/>
    <col min="14086" max="14086" width="26.85546875" style="15" bestFit="1" customWidth="1"/>
    <col min="14087" max="14337" width="9.140625" style="15"/>
    <col min="14338" max="14338" width="25.28515625" style="15" bestFit="1" customWidth="1"/>
    <col min="14339" max="14339" width="26.7109375" style="15" bestFit="1" customWidth="1"/>
    <col min="14340" max="14340" width="26.85546875" style="15" bestFit="1" customWidth="1"/>
    <col min="14341" max="14341" width="26.7109375" style="15" bestFit="1" customWidth="1"/>
    <col min="14342" max="14342" width="26.85546875" style="15" bestFit="1" customWidth="1"/>
    <col min="14343" max="14593" width="9.140625" style="15"/>
    <col min="14594" max="14594" width="25.28515625" style="15" bestFit="1" customWidth="1"/>
    <col min="14595" max="14595" width="26.7109375" style="15" bestFit="1" customWidth="1"/>
    <col min="14596" max="14596" width="26.85546875" style="15" bestFit="1" customWidth="1"/>
    <col min="14597" max="14597" width="26.7109375" style="15" bestFit="1" customWidth="1"/>
    <col min="14598" max="14598" width="26.85546875" style="15" bestFit="1" customWidth="1"/>
    <col min="14599" max="14849" width="9.140625" style="15"/>
    <col min="14850" max="14850" width="25.28515625" style="15" bestFit="1" customWidth="1"/>
    <col min="14851" max="14851" width="26.7109375" style="15" bestFit="1" customWidth="1"/>
    <col min="14852" max="14852" width="26.85546875" style="15" bestFit="1" customWidth="1"/>
    <col min="14853" max="14853" width="26.7109375" style="15" bestFit="1" customWidth="1"/>
    <col min="14854" max="14854" width="26.85546875" style="15" bestFit="1" customWidth="1"/>
    <col min="14855" max="15105" width="9.140625" style="15"/>
    <col min="15106" max="15106" width="25.28515625" style="15" bestFit="1" customWidth="1"/>
    <col min="15107" max="15107" width="26.7109375" style="15" bestFit="1" customWidth="1"/>
    <col min="15108" max="15108" width="26.85546875" style="15" bestFit="1" customWidth="1"/>
    <col min="15109" max="15109" width="26.7109375" style="15" bestFit="1" customWidth="1"/>
    <col min="15110" max="15110" width="26.85546875" style="15" bestFit="1" customWidth="1"/>
    <col min="15111" max="15361" width="9.140625" style="15"/>
    <col min="15362" max="15362" width="25.28515625" style="15" bestFit="1" customWidth="1"/>
    <col min="15363" max="15363" width="26.7109375" style="15" bestFit="1" customWidth="1"/>
    <col min="15364" max="15364" width="26.85546875" style="15" bestFit="1" customWidth="1"/>
    <col min="15365" max="15365" width="26.7109375" style="15" bestFit="1" customWidth="1"/>
    <col min="15366" max="15366" width="26.85546875" style="15" bestFit="1" customWidth="1"/>
    <col min="15367" max="15617" width="9.140625" style="15"/>
    <col min="15618" max="15618" width="25.28515625" style="15" bestFit="1" customWidth="1"/>
    <col min="15619" max="15619" width="26.7109375" style="15" bestFit="1" customWidth="1"/>
    <col min="15620" max="15620" width="26.85546875" style="15" bestFit="1" customWidth="1"/>
    <col min="15621" max="15621" width="26.7109375" style="15" bestFit="1" customWidth="1"/>
    <col min="15622" max="15622" width="26.85546875" style="15" bestFit="1" customWidth="1"/>
    <col min="15623" max="15873" width="9.140625" style="15"/>
    <col min="15874" max="15874" width="25.28515625" style="15" bestFit="1" customWidth="1"/>
    <col min="15875" max="15875" width="26.7109375" style="15" bestFit="1" customWidth="1"/>
    <col min="15876" max="15876" width="26.85546875" style="15" bestFit="1" customWidth="1"/>
    <col min="15877" max="15877" width="26.7109375" style="15" bestFit="1" customWidth="1"/>
    <col min="15878" max="15878" width="26.85546875" style="15" bestFit="1" customWidth="1"/>
    <col min="15879" max="16129" width="9.140625" style="15"/>
    <col min="16130" max="16130" width="25.28515625" style="15" bestFit="1" customWidth="1"/>
    <col min="16131" max="16131" width="26.7109375" style="15" bestFit="1" customWidth="1"/>
    <col min="16132" max="16132" width="26.85546875" style="15" bestFit="1" customWidth="1"/>
    <col min="16133" max="16133" width="26.7109375" style="15" bestFit="1" customWidth="1"/>
    <col min="16134" max="16134" width="26.85546875" style="15" bestFit="1" customWidth="1"/>
    <col min="16135" max="16384" width="9.140625" style="15"/>
  </cols>
  <sheetData>
    <row r="1" spans="1:19" ht="19.5" thickBot="1" x14ac:dyDescent="0.35">
      <c r="A1" s="369" t="s">
        <v>130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1"/>
    </row>
    <row r="2" spans="1:19" x14ac:dyDescent="0.25">
      <c r="A2" s="14" t="s">
        <v>163</v>
      </c>
    </row>
    <row r="5" spans="1:19" ht="45" customHeight="1" x14ac:dyDescent="0.25">
      <c r="A5" s="367" t="s">
        <v>71</v>
      </c>
      <c r="B5" s="367" t="s">
        <v>72</v>
      </c>
      <c r="C5" s="367" t="s">
        <v>101</v>
      </c>
      <c r="D5" s="367"/>
      <c r="E5" s="367"/>
      <c r="F5" s="367" t="s">
        <v>102</v>
      </c>
      <c r="G5" s="367"/>
      <c r="H5" s="367"/>
      <c r="I5" s="367" t="s">
        <v>113</v>
      </c>
      <c r="J5" s="367"/>
      <c r="K5" s="367"/>
      <c r="L5" s="367" t="s">
        <v>103</v>
      </c>
      <c r="M5" s="367"/>
      <c r="N5" s="367"/>
      <c r="O5" s="13"/>
      <c r="P5" s="367" t="s">
        <v>73</v>
      </c>
      <c r="Q5" s="367"/>
      <c r="R5" s="367"/>
    </row>
    <row r="6" spans="1:19" ht="15" customHeight="1" x14ac:dyDescent="0.25">
      <c r="A6" s="367"/>
      <c r="B6" s="367"/>
      <c r="C6" s="367" t="s">
        <v>74</v>
      </c>
      <c r="D6" s="367"/>
      <c r="E6" s="367"/>
      <c r="F6" s="367" t="s">
        <v>75</v>
      </c>
      <c r="G6" s="367"/>
      <c r="H6" s="367"/>
      <c r="I6" s="367" t="s">
        <v>76</v>
      </c>
      <c r="J6" s="367"/>
      <c r="K6" s="367"/>
      <c r="L6" s="367" t="s">
        <v>76</v>
      </c>
      <c r="M6" s="367"/>
      <c r="N6" s="367"/>
      <c r="O6" s="13"/>
      <c r="P6" s="367" t="s">
        <v>76</v>
      </c>
      <c r="Q6" s="367"/>
      <c r="R6" s="367"/>
    </row>
    <row r="7" spans="1:19" ht="25.5" x14ac:dyDescent="0.25">
      <c r="A7" s="367"/>
      <c r="B7" s="367"/>
      <c r="C7" s="273" t="s">
        <v>77</v>
      </c>
      <c r="D7" s="274" t="s">
        <v>78</v>
      </c>
      <c r="E7" s="273" t="s">
        <v>79</v>
      </c>
      <c r="F7" s="273" t="s">
        <v>77</v>
      </c>
      <c r="G7" s="273" t="s">
        <v>78</v>
      </c>
      <c r="H7" s="273" t="s">
        <v>79</v>
      </c>
      <c r="I7" s="273" t="s">
        <v>77</v>
      </c>
      <c r="J7" s="273" t="s">
        <v>78</v>
      </c>
      <c r="K7" s="273" t="s">
        <v>79</v>
      </c>
      <c r="L7" s="273" t="s">
        <v>77</v>
      </c>
      <c r="M7" s="273" t="s">
        <v>78</v>
      </c>
      <c r="N7" s="273" t="s">
        <v>79</v>
      </c>
      <c r="O7" s="13"/>
      <c r="P7" s="273" t="s">
        <v>77</v>
      </c>
      <c r="Q7" s="273" t="s">
        <v>78</v>
      </c>
      <c r="R7" s="273" t="s">
        <v>79</v>
      </c>
      <c r="S7" s="273" t="s">
        <v>57</v>
      </c>
    </row>
    <row r="8" spans="1:19" x14ac:dyDescent="0.25">
      <c r="A8" s="275" t="s">
        <v>104</v>
      </c>
      <c r="B8" s="275" t="s">
        <v>80</v>
      </c>
      <c r="C8" s="276">
        <v>22</v>
      </c>
      <c r="D8" s="277">
        <v>4</v>
      </c>
      <c r="E8" s="275">
        <v>4</v>
      </c>
      <c r="F8" s="278">
        <v>23.267083021641046</v>
      </c>
      <c r="G8" s="278">
        <v>13.127129280098673</v>
      </c>
      <c r="H8" s="278">
        <v>8.943256487732409</v>
      </c>
      <c r="I8" s="275">
        <v>11.8</v>
      </c>
      <c r="J8" s="279">
        <f>I8</f>
        <v>11.8</v>
      </c>
      <c r="K8" s="279">
        <f>J8</f>
        <v>11.8</v>
      </c>
      <c r="L8" s="280">
        <f>0.05*(C8*F8*I8)</f>
        <v>302.00673762090076</v>
      </c>
      <c r="M8" s="280">
        <f>0.05*(D8*G8*J8)</f>
        <v>30.980025101032869</v>
      </c>
      <c r="N8" s="280">
        <f>0.05*(E8*H8*K8)</f>
        <v>21.106085311048489</v>
      </c>
      <c r="O8" s="14"/>
      <c r="P8" s="281">
        <f>C8*F8*I8+L8</f>
        <v>6342.1414900389163</v>
      </c>
      <c r="Q8" s="281">
        <f>D8*G8*J8+M8</f>
        <v>650.58052712169024</v>
      </c>
      <c r="R8" s="281">
        <f>E8*H8*K8+N8</f>
        <v>443.22779153201822</v>
      </c>
      <c r="S8" s="281">
        <f>SUM(P8:R8)</f>
        <v>7435.9498086926251</v>
      </c>
    </row>
    <row r="9" spans="1:19" x14ac:dyDescent="0.25">
      <c r="A9" s="275" t="s">
        <v>105</v>
      </c>
      <c r="B9" s="275" t="s">
        <v>81</v>
      </c>
      <c r="C9" s="276">
        <v>22</v>
      </c>
      <c r="D9" s="277">
        <v>4</v>
      </c>
      <c r="E9" s="275">
        <v>4</v>
      </c>
      <c r="F9" s="278">
        <v>14.059240868974536</v>
      </c>
      <c r="G9" s="278">
        <v>7.9321276455418159</v>
      </c>
      <c r="H9" s="278">
        <v>5.4040034583235403</v>
      </c>
      <c r="I9" s="275">
        <v>20.9</v>
      </c>
      <c r="J9" s="279">
        <f t="shared" ref="J9:K10" si="0">I9</f>
        <v>20.9</v>
      </c>
      <c r="K9" s="279">
        <f t="shared" si="0"/>
        <v>20.9</v>
      </c>
      <c r="L9" s="280">
        <f t="shared" ref="L9:M10" si="1">0.05*(C9*F9*I9)</f>
        <v>323.22194757772456</v>
      </c>
      <c r="M9" s="280">
        <f t="shared" si="1"/>
        <v>33.156293558364787</v>
      </c>
      <c r="N9" s="280">
        <f t="shared" ref="N9:N10" si="2">0.05*(E9*H9*K9)</f>
        <v>22.588734455792398</v>
      </c>
      <c r="O9" s="14"/>
      <c r="P9" s="281">
        <f>C9*F9*I9+L9</f>
        <v>6787.6608991322155</v>
      </c>
      <c r="Q9" s="281">
        <f t="shared" ref="Q9:R10" si="3">D9*G9*J9+M9</f>
        <v>696.28216472566055</v>
      </c>
      <c r="R9" s="281">
        <f t="shared" si="3"/>
        <v>474.36342357164034</v>
      </c>
      <c r="S9" s="281">
        <f t="shared" ref="S9:S10" si="4">SUM(P9:R9)</f>
        <v>7958.306487429516</v>
      </c>
    </row>
    <row r="10" spans="1:19" ht="15.75" thickBot="1" x14ac:dyDescent="0.3">
      <c r="A10" s="275" t="s">
        <v>106</v>
      </c>
      <c r="B10" s="275" t="s">
        <v>82</v>
      </c>
      <c r="C10" s="276">
        <v>22</v>
      </c>
      <c r="D10" s="277">
        <v>4</v>
      </c>
      <c r="E10" s="275">
        <v>4</v>
      </c>
      <c r="F10" s="278">
        <v>10.485367002836076</v>
      </c>
      <c r="G10" s="278">
        <v>5.915772426972751</v>
      </c>
      <c r="H10" s="278">
        <v>4.0303000761698042</v>
      </c>
      <c r="I10" s="275">
        <v>15.7</v>
      </c>
      <c r="J10" s="279">
        <f t="shared" si="0"/>
        <v>15.7</v>
      </c>
      <c r="K10" s="279">
        <f t="shared" si="0"/>
        <v>15.7</v>
      </c>
      <c r="L10" s="280">
        <f t="shared" si="1"/>
        <v>181.08228813897904</v>
      </c>
      <c r="M10" s="280">
        <f t="shared" si="1"/>
        <v>18.57552542069444</v>
      </c>
      <c r="N10" s="280">
        <f t="shared" si="2"/>
        <v>12.655142239173186</v>
      </c>
      <c r="O10" s="14"/>
      <c r="P10" s="281">
        <f>C10*F10*I10+L10</f>
        <v>3802.7280509185598</v>
      </c>
      <c r="Q10" s="281">
        <f t="shared" si="3"/>
        <v>390.08603383458319</v>
      </c>
      <c r="R10" s="281">
        <f t="shared" si="3"/>
        <v>265.75798702263688</v>
      </c>
      <c r="S10" s="282">
        <f t="shared" si="4"/>
        <v>4458.5720717757804</v>
      </c>
    </row>
    <row r="11" spans="1:19" ht="15.75" thickBot="1" x14ac:dyDescent="0.3">
      <c r="S11" s="283">
        <f>SUM(S8:S10)</f>
        <v>19852.828367897921</v>
      </c>
    </row>
    <row r="12" spans="1:19" x14ac:dyDescent="0.25">
      <c r="S12" s="292"/>
    </row>
    <row r="13" spans="1:19" x14ac:dyDescent="0.25">
      <c r="A13" s="368" t="s">
        <v>112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</row>
    <row r="14" spans="1:19" x14ac:dyDescent="0.25">
      <c r="A14" s="12"/>
    </row>
    <row r="15" spans="1:19" x14ac:dyDescent="0.25">
      <c r="A15" s="372" t="s">
        <v>71</v>
      </c>
      <c r="B15" s="372" t="s">
        <v>72</v>
      </c>
      <c r="C15" s="372" t="s">
        <v>97</v>
      </c>
      <c r="D15" s="373" t="s">
        <v>111</v>
      </c>
    </row>
    <row r="16" spans="1:19" x14ac:dyDescent="0.25">
      <c r="A16" s="372"/>
      <c r="B16" s="372"/>
      <c r="C16" s="372"/>
      <c r="D16" s="373"/>
    </row>
    <row r="17" spans="1:18" x14ac:dyDescent="0.25">
      <c r="A17" s="372"/>
      <c r="B17" s="372"/>
      <c r="C17" s="372"/>
      <c r="D17" s="373"/>
    </row>
    <row r="18" spans="1:18" x14ac:dyDescent="0.25">
      <c r="A18" s="284" t="s">
        <v>104</v>
      </c>
      <c r="B18" s="284" t="s">
        <v>80</v>
      </c>
      <c r="C18" s="285">
        <f>'1_Demanda'!D13</f>
        <v>42346.0910993867</v>
      </c>
      <c r="D18" s="285">
        <v>3</v>
      </c>
    </row>
    <row r="19" spans="1:18" x14ac:dyDescent="0.25">
      <c r="A19" s="284" t="s">
        <v>105</v>
      </c>
      <c r="B19" s="284" t="s">
        <v>81</v>
      </c>
      <c r="C19" s="285">
        <f>'1_Demanda'!D14</f>
        <v>25587.818381533656</v>
      </c>
      <c r="D19" s="285">
        <v>4</v>
      </c>
      <c r="R19" s="18"/>
    </row>
    <row r="20" spans="1:18" x14ac:dyDescent="0.25">
      <c r="A20" s="284" t="s">
        <v>106</v>
      </c>
      <c r="B20" s="284" t="s">
        <v>82</v>
      </c>
      <c r="C20" s="285">
        <f>'1_Demanda'!D15</f>
        <v>19083.367945161659</v>
      </c>
      <c r="D20" s="285">
        <v>3</v>
      </c>
      <c r="R20" s="18"/>
    </row>
    <row r="21" spans="1:18" x14ac:dyDescent="0.25">
      <c r="A21" s="342" t="s">
        <v>147</v>
      </c>
      <c r="B21" s="290"/>
      <c r="C21" s="286">
        <f>SUM(C18:C20)</f>
        <v>87017.277426082015</v>
      </c>
      <c r="D21" s="287">
        <f>SUM(D18:D20)</f>
        <v>10</v>
      </c>
    </row>
    <row r="22" spans="1:18" x14ac:dyDescent="0.25">
      <c r="A22" s="342" t="s">
        <v>148</v>
      </c>
      <c r="B22" s="291"/>
      <c r="C22" s="290"/>
      <c r="D22" s="287">
        <f>D21*1.1</f>
        <v>11</v>
      </c>
    </row>
  </sheetData>
  <mergeCells count="18">
    <mergeCell ref="C5:E5"/>
    <mergeCell ref="F5:H5"/>
    <mergeCell ref="I5:K5"/>
    <mergeCell ref="L5:N5"/>
    <mergeCell ref="A13:S13"/>
    <mergeCell ref="A1:S1"/>
    <mergeCell ref="A15:A17"/>
    <mergeCell ref="B15:B17"/>
    <mergeCell ref="C15:C17"/>
    <mergeCell ref="D15:D17"/>
    <mergeCell ref="P5:R5"/>
    <mergeCell ref="C6:E6"/>
    <mergeCell ref="F6:H6"/>
    <mergeCell ref="I6:K6"/>
    <mergeCell ref="L6:N6"/>
    <mergeCell ref="P6:R6"/>
    <mergeCell ref="A5:A7"/>
    <mergeCell ref="B5:B7"/>
  </mergeCells>
  <pageMargins left="0.511811024" right="0.511811024" top="0.78740157499999996" bottom="0.78740157499999996" header="0.31496062000000002" footer="0.31496062000000002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showGridLines="0" zoomScaleNormal="100" zoomScaleSheetLayoutView="100" workbookViewId="0">
      <selection activeCell="C29" sqref="C29"/>
    </sheetView>
  </sheetViews>
  <sheetFormatPr defaultRowHeight="15" x14ac:dyDescent="0.25"/>
  <cols>
    <col min="1" max="1" width="13.7109375" style="15" customWidth="1"/>
    <col min="2" max="2" width="25.28515625" style="15" bestFit="1" customWidth="1"/>
    <col min="3" max="3" width="9" style="15" bestFit="1" customWidth="1"/>
    <col min="4" max="4" width="7.28515625" style="17" bestFit="1" customWidth="1"/>
    <col min="5" max="5" width="10.7109375" style="15" customWidth="1"/>
    <col min="6" max="6" width="8.42578125" style="15" bestFit="1" customWidth="1"/>
    <col min="7" max="7" width="7.28515625" style="15" bestFit="1" customWidth="1"/>
    <col min="8" max="8" width="8.85546875" style="15" bestFit="1" customWidth="1"/>
    <col min="9" max="9" width="8.42578125" style="15" bestFit="1" customWidth="1"/>
    <col min="10" max="10" width="7.28515625" style="15" bestFit="1" customWidth="1"/>
    <col min="11" max="11" width="8.85546875" style="15" bestFit="1" customWidth="1"/>
    <col min="12" max="12" width="8.42578125" style="15" bestFit="1" customWidth="1"/>
    <col min="13" max="13" width="7.28515625" style="15" bestFit="1" customWidth="1"/>
    <col min="14" max="14" width="8.85546875" style="15" bestFit="1" customWidth="1"/>
    <col min="15" max="15" width="5.7109375" style="15" customWidth="1"/>
    <col min="16" max="16" width="8.42578125" style="15" bestFit="1" customWidth="1"/>
    <col min="17" max="17" width="7.28515625" style="15" bestFit="1" customWidth="1"/>
    <col min="18" max="18" width="8.85546875" style="15" bestFit="1" customWidth="1"/>
    <col min="19" max="19" width="7.42578125" style="15" bestFit="1" customWidth="1"/>
    <col min="20" max="257" width="9.140625" style="15"/>
    <col min="258" max="258" width="25.28515625" style="15" bestFit="1" customWidth="1"/>
    <col min="259" max="259" width="26.7109375" style="15" bestFit="1" customWidth="1"/>
    <col min="260" max="260" width="26.85546875" style="15" bestFit="1" customWidth="1"/>
    <col min="261" max="261" width="26.7109375" style="15" bestFit="1" customWidth="1"/>
    <col min="262" max="262" width="26.85546875" style="15" bestFit="1" customWidth="1"/>
    <col min="263" max="513" width="9.140625" style="15"/>
    <col min="514" max="514" width="25.28515625" style="15" bestFit="1" customWidth="1"/>
    <col min="515" max="515" width="26.7109375" style="15" bestFit="1" customWidth="1"/>
    <col min="516" max="516" width="26.85546875" style="15" bestFit="1" customWidth="1"/>
    <col min="517" max="517" width="26.7109375" style="15" bestFit="1" customWidth="1"/>
    <col min="518" max="518" width="26.85546875" style="15" bestFit="1" customWidth="1"/>
    <col min="519" max="769" width="9.140625" style="15"/>
    <col min="770" max="770" width="25.28515625" style="15" bestFit="1" customWidth="1"/>
    <col min="771" max="771" width="26.7109375" style="15" bestFit="1" customWidth="1"/>
    <col min="772" max="772" width="26.85546875" style="15" bestFit="1" customWidth="1"/>
    <col min="773" max="773" width="26.7109375" style="15" bestFit="1" customWidth="1"/>
    <col min="774" max="774" width="26.85546875" style="15" bestFit="1" customWidth="1"/>
    <col min="775" max="1025" width="9.140625" style="15"/>
    <col min="1026" max="1026" width="25.28515625" style="15" bestFit="1" customWidth="1"/>
    <col min="1027" max="1027" width="26.7109375" style="15" bestFit="1" customWidth="1"/>
    <col min="1028" max="1028" width="26.85546875" style="15" bestFit="1" customWidth="1"/>
    <col min="1029" max="1029" width="26.7109375" style="15" bestFit="1" customWidth="1"/>
    <col min="1030" max="1030" width="26.85546875" style="15" bestFit="1" customWidth="1"/>
    <col min="1031" max="1281" width="9.140625" style="15"/>
    <col min="1282" max="1282" width="25.28515625" style="15" bestFit="1" customWidth="1"/>
    <col min="1283" max="1283" width="26.7109375" style="15" bestFit="1" customWidth="1"/>
    <col min="1284" max="1284" width="26.85546875" style="15" bestFit="1" customWidth="1"/>
    <col min="1285" max="1285" width="26.7109375" style="15" bestFit="1" customWidth="1"/>
    <col min="1286" max="1286" width="26.85546875" style="15" bestFit="1" customWidth="1"/>
    <col min="1287" max="1537" width="9.140625" style="15"/>
    <col min="1538" max="1538" width="25.28515625" style="15" bestFit="1" customWidth="1"/>
    <col min="1539" max="1539" width="26.7109375" style="15" bestFit="1" customWidth="1"/>
    <col min="1540" max="1540" width="26.85546875" style="15" bestFit="1" customWidth="1"/>
    <col min="1541" max="1541" width="26.7109375" style="15" bestFit="1" customWidth="1"/>
    <col min="1542" max="1542" width="26.85546875" style="15" bestFit="1" customWidth="1"/>
    <col min="1543" max="1793" width="9.140625" style="15"/>
    <col min="1794" max="1794" width="25.28515625" style="15" bestFit="1" customWidth="1"/>
    <col min="1795" max="1795" width="26.7109375" style="15" bestFit="1" customWidth="1"/>
    <col min="1796" max="1796" width="26.85546875" style="15" bestFit="1" customWidth="1"/>
    <col min="1797" max="1797" width="26.7109375" style="15" bestFit="1" customWidth="1"/>
    <col min="1798" max="1798" width="26.85546875" style="15" bestFit="1" customWidth="1"/>
    <col min="1799" max="2049" width="9.140625" style="15"/>
    <col min="2050" max="2050" width="25.28515625" style="15" bestFit="1" customWidth="1"/>
    <col min="2051" max="2051" width="26.7109375" style="15" bestFit="1" customWidth="1"/>
    <col min="2052" max="2052" width="26.85546875" style="15" bestFit="1" customWidth="1"/>
    <col min="2053" max="2053" width="26.7109375" style="15" bestFit="1" customWidth="1"/>
    <col min="2054" max="2054" width="26.85546875" style="15" bestFit="1" customWidth="1"/>
    <col min="2055" max="2305" width="9.140625" style="15"/>
    <col min="2306" max="2306" width="25.28515625" style="15" bestFit="1" customWidth="1"/>
    <col min="2307" max="2307" width="26.7109375" style="15" bestFit="1" customWidth="1"/>
    <col min="2308" max="2308" width="26.85546875" style="15" bestFit="1" customWidth="1"/>
    <col min="2309" max="2309" width="26.7109375" style="15" bestFit="1" customWidth="1"/>
    <col min="2310" max="2310" width="26.85546875" style="15" bestFit="1" customWidth="1"/>
    <col min="2311" max="2561" width="9.140625" style="15"/>
    <col min="2562" max="2562" width="25.28515625" style="15" bestFit="1" customWidth="1"/>
    <col min="2563" max="2563" width="26.7109375" style="15" bestFit="1" customWidth="1"/>
    <col min="2564" max="2564" width="26.85546875" style="15" bestFit="1" customWidth="1"/>
    <col min="2565" max="2565" width="26.7109375" style="15" bestFit="1" customWidth="1"/>
    <col min="2566" max="2566" width="26.85546875" style="15" bestFit="1" customWidth="1"/>
    <col min="2567" max="2817" width="9.140625" style="15"/>
    <col min="2818" max="2818" width="25.28515625" style="15" bestFit="1" customWidth="1"/>
    <col min="2819" max="2819" width="26.7109375" style="15" bestFit="1" customWidth="1"/>
    <col min="2820" max="2820" width="26.85546875" style="15" bestFit="1" customWidth="1"/>
    <col min="2821" max="2821" width="26.7109375" style="15" bestFit="1" customWidth="1"/>
    <col min="2822" max="2822" width="26.85546875" style="15" bestFit="1" customWidth="1"/>
    <col min="2823" max="3073" width="9.140625" style="15"/>
    <col min="3074" max="3074" width="25.28515625" style="15" bestFit="1" customWidth="1"/>
    <col min="3075" max="3075" width="26.7109375" style="15" bestFit="1" customWidth="1"/>
    <col min="3076" max="3076" width="26.85546875" style="15" bestFit="1" customWidth="1"/>
    <col min="3077" max="3077" width="26.7109375" style="15" bestFit="1" customWidth="1"/>
    <col min="3078" max="3078" width="26.85546875" style="15" bestFit="1" customWidth="1"/>
    <col min="3079" max="3329" width="9.140625" style="15"/>
    <col min="3330" max="3330" width="25.28515625" style="15" bestFit="1" customWidth="1"/>
    <col min="3331" max="3331" width="26.7109375" style="15" bestFit="1" customWidth="1"/>
    <col min="3332" max="3332" width="26.85546875" style="15" bestFit="1" customWidth="1"/>
    <col min="3333" max="3333" width="26.7109375" style="15" bestFit="1" customWidth="1"/>
    <col min="3334" max="3334" width="26.85546875" style="15" bestFit="1" customWidth="1"/>
    <col min="3335" max="3585" width="9.140625" style="15"/>
    <col min="3586" max="3586" width="25.28515625" style="15" bestFit="1" customWidth="1"/>
    <col min="3587" max="3587" width="26.7109375" style="15" bestFit="1" customWidth="1"/>
    <col min="3588" max="3588" width="26.85546875" style="15" bestFit="1" customWidth="1"/>
    <col min="3589" max="3589" width="26.7109375" style="15" bestFit="1" customWidth="1"/>
    <col min="3590" max="3590" width="26.85546875" style="15" bestFit="1" customWidth="1"/>
    <col min="3591" max="3841" width="9.140625" style="15"/>
    <col min="3842" max="3842" width="25.28515625" style="15" bestFit="1" customWidth="1"/>
    <col min="3843" max="3843" width="26.7109375" style="15" bestFit="1" customWidth="1"/>
    <col min="3844" max="3844" width="26.85546875" style="15" bestFit="1" customWidth="1"/>
    <col min="3845" max="3845" width="26.7109375" style="15" bestFit="1" customWidth="1"/>
    <col min="3846" max="3846" width="26.85546875" style="15" bestFit="1" customWidth="1"/>
    <col min="3847" max="4097" width="9.140625" style="15"/>
    <col min="4098" max="4098" width="25.28515625" style="15" bestFit="1" customWidth="1"/>
    <col min="4099" max="4099" width="26.7109375" style="15" bestFit="1" customWidth="1"/>
    <col min="4100" max="4100" width="26.85546875" style="15" bestFit="1" customWidth="1"/>
    <col min="4101" max="4101" width="26.7109375" style="15" bestFit="1" customWidth="1"/>
    <col min="4102" max="4102" width="26.85546875" style="15" bestFit="1" customWidth="1"/>
    <col min="4103" max="4353" width="9.140625" style="15"/>
    <col min="4354" max="4354" width="25.28515625" style="15" bestFit="1" customWidth="1"/>
    <col min="4355" max="4355" width="26.7109375" style="15" bestFit="1" customWidth="1"/>
    <col min="4356" max="4356" width="26.85546875" style="15" bestFit="1" customWidth="1"/>
    <col min="4357" max="4357" width="26.7109375" style="15" bestFit="1" customWidth="1"/>
    <col min="4358" max="4358" width="26.85546875" style="15" bestFit="1" customWidth="1"/>
    <col min="4359" max="4609" width="9.140625" style="15"/>
    <col min="4610" max="4610" width="25.28515625" style="15" bestFit="1" customWidth="1"/>
    <col min="4611" max="4611" width="26.7109375" style="15" bestFit="1" customWidth="1"/>
    <col min="4612" max="4612" width="26.85546875" style="15" bestFit="1" customWidth="1"/>
    <col min="4613" max="4613" width="26.7109375" style="15" bestFit="1" customWidth="1"/>
    <col min="4614" max="4614" width="26.85546875" style="15" bestFit="1" customWidth="1"/>
    <col min="4615" max="4865" width="9.140625" style="15"/>
    <col min="4866" max="4866" width="25.28515625" style="15" bestFit="1" customWidth="1"/>
    <col min="4867" max="4867" width="26.7109375" style="15" bestFit="1" customWidth="1"/>
    <col min="4868" max="4868" width="26.85546875" style="15" bestFit="1" customWidth="1"/>
    <col min="4869" max="4869" width="26.7109375" style="15" bestFit="1" customWidth="1"/>
    <col min="4870" max="4870" width="26.85546875" style="15" bestFit="1" customWidth="1"/>
    <col min="4871" max="5121" width="9.140625" style="15"/>
    <col min="5122" max="5122" width="25.28515625" style="15" bestFit="1" customWidth="1"/>
    <col min="5123" max="5123" width="26.7109375" style="15" bestFit="1" customWidth="1"/>
    <col min="5124" max="5124" width="26.85546875" style="15" bestFit="1" customWidth="1"/>
    <col min="5125" max="5125" width="26.7109375" style="15" bestFit="1" customWidth="1"/>
    <col min="5126" max="5126" width="26.85546875" style="15" bestFit="1" customWidth="1"/>
    <col min="5127" max="5377" width="9.140625" style="15"/>
    <col min="5378" max="5378" width="25.28515625" style="15" bestFit="1" customWidth="1"/>
    <col min="5379" max="5379" width="26.7109375" style="15" bestFit="1" customWidth="1"/>
    <col min="5380" max="5380" width="26.85546875" style="15" bestFit="1" customWidth="1"/>
    <col min="5381" max="5381" width="26.7109375" style="15" bestFit="1" customWidth="1"/>
    <col min="5382" max="5382" width="26.85546875" style="15" bestFit="1" customWidth="1"/>
    <col min="5383" max="5633" width="9.140625" style="15"/>
    <col min="5634" max="5634" width="25.28515625" style="15" bestFit="1" customWidth="1"/>
    <col min="5635" max="5635" width="26.7109375" style="15" bestFit="1" customWidth="1"/>
    <col min="5636" max="5636" width="26.85546875" style="15" bestFit="1" customWidth="1"/>
    <col min="5637" max="5637" width="26.7109375" style="15" bestFit="1" customWidth="1"/>
    <col min="5638" max="5638" width="26.85546875" style="15" bestFit="1" customWidth="1"/>
    <col min="5639" max="5889" width="9.140625" style="15"/>
    <col min="5890" max="5890" width="25.28515625" style="15" bestFit="1" customWidth="1"/>
    <col min="5891" max="5891" width="26.7109375" style="15" bestFit="1" customWidth="1"/>
    <col min="5892" max="5892" width="26.85546875" style="15" bestFit="1" customWidth="1"/>
    <col min="5893" max="5893" width="26.7109375" style="15" bestFit="1" customWidth="1"/>
    <col min="5894" max="5894" width="26.85546875" style="15" bestFit="1" customWidth="1"/>
    <col min="5895" max="6145" width="9.140625" style="15"/>
    <col min="6146" max="6146" width="25.28515625" style="15" bestFit="1" customWidth="1"/>
    <col min="6147" max="6147" width="26.7109375" style="15" bestFit="1" customWidth="1"/>
    <col min="6148" max="6148" width="26.85546875" style="15" bestFit="1" customWidth="1"/>
    <col min="6149" max="6149" width="26.7109375" style="15" bestFit="1" customWidth="1"/>
    <col min="6150" max="6150" width="26.85546875" style="15" bestFit="1" customWidth="1"/>
    <col min="6151" max="6401" width="9.140625" style="15"/>
    <col min="6402" max="6402" width="25.28515625" style="15" bestFit="1" customWidth="1"/>
    <col min="6403" max="6403" width="26.7109375" style="15" bestFit="1" customWidth="1"/>
    <col min="6404" max="6404" width="26.85546875" style="15" bestFit="1" customWidth="1"/>
    <col min="6405" max="6405" width="26.7109375" style="15" bestFit="1" customWidth="1"/>
    <col min="6406" max="6406" width="26.85546875" style="15" bestFit="1" customWidth="1"/>
    <col min="6407" max="6657" width="9.140625" style="15"/>
    <col min="6658" max="6658" width="25.28515625" style="15" bestFit="1" customWidth="1"/>
    <col min="6659" max="6659" width="26.7109375" style="15" bestFit="1" customWidth="1"/>
    <col min="6660" max="6660" width="26.85546875" style="15" bestFit="1" customWidth="1"/>
    <col min="6661" max="6661" width="26.7109375" style="15" bestFit="1" customWidth="1"/>
    <col min="6662" max="6662" width="26.85546875" style="15" bestFit="1" customWidth="1"/>
    <col min="6663" max="6913" width="9.140625" style="15"/>
    <col min="6914" max="6914" width="25.28515625" style="15" bestFit="1" customWidth="1"/>
    <col min="6915" max="6915" width="26.7109375" style="15" bestFit="1" customWidth="1"/>
    <col min="6916" max="6916" width="26.85546875" style="15" bestFit="1" customWidth="1"/>
    <col min="6917" max="6917" width="26.7109375" style="15" bestFit="1" customWidth="1"/>
    <col min="6918" max="6918" width="26.85546875" style="15" bestFit="1" customWidth="1"/>
    <col min="6919" max="7169" width="9.140625" style="15"/>
    <col min="7170" max="7170" width="25.28515625" style="15" bestFit="1" customWidth="1"/>
    <col min="7171" max="7171" width="26.7109375" style="15" bestFit="1" customWidth="1"/>
    <col min="7172" max="7172" width="26.85546875" style="15" bestFit="1" customWidth="1"/>
    <col min="7173" max="7173" width="26.7109375" style="15" bestFit="1" customWidth="1"/>
    <col min="7174" max="7174" width="26.85546875" style="15" bestFit="1" customWidth="1"/>
    <col min="7175" max="7425" width="9.140625" style="15"/>
    <col min="7426" max="7426" width="25.28515625" style="15" bestFit="1" customWidth="1"/>
    <col min="7427" max="7427" width="26.7109375" style="15" bestFit="1" customWidth="1"/>
    <col min="7428" max="7428" width="26.85546875" style="15" bestFit="1" customWidth="1"/>
    <col min="7429" max="7429" width="26.7109375" style="15" bestFit="1" customWidth="1"/>
    <col min="7430" max="7430" width="26.85546875" style="15" bestFit="1" customWidth="1"/>
    <col min="7431" max="7681" width="9.140625" style="15"/>
    <col min="7682" max="7682" width="25.28515625" style="15" bestFit="1" customWidth="1"/>
    <col min="7683" max="7683" width="26.7109375" style="15" bestFit="1" customWidth="1"/>
    <col min="7684" max="7684" width="26.85546875" style="15" bestFit="1" customWidth="1"/>
    <col min="7685" max="7685" width="26.7109375" style="15" bestFit="1" customWidth="1"/>
    <col min="7686" max="7686" width="26.85546875" style="15" bestFit="1" customWidth="1"/>
    <col min="7687" max="7937" width="9.140625" style="15"/>
    <col min="7938" max="7938" width="25.28515625" style="15" bestFit="1" customWidth="1"/>
    <col min="7939" max="7939" width="26.7109375" style="15" bestFit="1" customWidth="1"/>
    <col min="7940" max="7940" width="26.85546875" style="15" bestFit="1" customWidth="1"/>
    <col min="7941" max="7941" width="26.7109375" style="15" bestFit="1" customWidth="1"/>
    <col min="7942" max="7942" width="26.85546875" style="15" bestFit="1" customWidth="1"/>
    <col min="7943" max="8193" width="9.140625" style="15"/>
    <col min="8194" max="8194" width="25.28515625" style="15" bestFit="1" customWidth="1"/>
    <col min="8195" max="8195" width="26.7109375" style="15" bestFit="1" customWidth="1"/>
    <col min="8196" max="8196" width="26.85546875" style="15" bestFit="1" customWidth="1"/>
    <col min="8197" max="8197" width="26.7109375" style="15" bestFit="1" customWidth="1"/>
    <col min="8198" max="8198" width="26.85546875" style="15" bestFit="1" customWidth="1"/>
    <col min="8199" max="8449" width="9.140625" style="15"/>
    <col min="8450" max="8450" width="25.28515625" style="15" bestFit="1" customWidth="1"/>
    <col min="8451" max="8451" width="26.7109375" style="15" bestFit="1" customWidth="1"/>
    <col min="8452" max="8452" width="26.85546875" style="15" bestFit="1" customWidth="1"/>
    <col min="8453" max="8453" width="26.7109375" style="15" bestFit="1" customWidth="1"/>
    <col min="8454" max="8454" width="26.85546875" style="15" bestFit="1" customWidth="1"/>
    <col min="8455" max="8705" width="9.140625" style="15"/>
    <col min="8706" max="8706" width="25.28515625" style="15" bestFit="1" customWidth="1"/>
    <col min="8707" max="8707" width="26.7109375" style="15" bestFit="1" customWidth="1"/>
    <col min="8708" max="8708" width="26.85546875" style="15" bestFit="1" customWidth="1"/>
    <col min="8709" max="8709" width="26.7109375" style="15" bestFit="1" customWidth="1"/>
    <col min="8710" max="8710" width="26.85546875" style="15" bestFit="1" customWidth="1"/>
    <col min="8711" max="8961" width="9.140625" style="15"/>
    <col min="8962" max="8962" width="25.28515625" style="15" bestFit="1" customWidth="1"/>
    <col min="8963" max="8963" width="26.7109375" style="15" bestFit="1" customWidth="1"/>
    <col min="8964" max="8964" width="26.85546875" style="15" bestFit="1" customWidth="1"/>
    <col min="8965" max="8965" width="26.7109375" style="15" bestFit="1" customWidth="1"/>
    <col min="8966" max="8966" width="26.85546875" style="15" bestFit="1" customWidth="1"/>
    <col min="8967" max="9217" width="9.140625" style="15"/>
    <col min="9218" max="9218" width="25.28515625" style="15" bestFit="1" customWidth="1"/>
    <col min="9219" max="9219" width="26.7109375" style="15" bestFit="1" customWidth="1"/>
    <col min="9220" max="9220" width="26.85546875" style="15" bestFit="1" customWidth="1"/>
    <col min="9221" max="9221" width="26.7109375" style="15" bestFit="1" customWidth="1"/>
    <col min="9222" max="9222" width="26.85546875" style="15" bestFit="1" customWidth="1"/>
    <col min="9223" max="9473" width="9.140625" style="15"/>
    <col min="9474" max="9474" width="25.28515625" style="15" bestFit="1" customWidth="1"/>
    <col min="9475" max="9475" width="26.7109375" style="15" bestFit="1" customWidth="1"/>
    <col min="9476" max="9476" width="26.85546875" style="15" bestFit="1" customWidth="1"/>
    <col min="9477" max="9477" width="26.7109375" style="15" bestFit="1" customWidth="1"/>
    <col min="9478" max="9478" width="26.85546875" style="15" bestFit="1" customWidth="1"/>
    <col min="9479" max="9729" width="9.140625" style="15"/>
    <col min="9730" max="9730" width="25.28515625" style="15" bestFit="1" customWidth="1"/>
    <col min="9731" max="9731" width="26.7109375" style="15" bestFit="1" customWidth="1"/>
    <col min="9732" max="9732" width="26.85546875" style="15" bestFit="1" customWidth="1"/>
    <col min="9733" max="9733" width="26.7109375" style="15" bestFit="1" customWidth="1"/>
    <col min="9734" max="9734" width="26.85546875" style="15" bestFit="1" customWidth="1"/>
    <col min="9735" max="9985" width="9.140625" style="15"/>
    <col min="9986" max="9986" width="25.28515625" style="15" bestFit="1" customWidth="1"/>
    <col min="9987" max="9987" width="26.7109375" style="15" bestFit="1" customWidth="1"/>
    <col min="9988" max="9988" width="26.85546875" style="15" bestFit="1" customWidth="1"/>
    <col min="9989" max="9989" width="26.7109375" style="15" bestFit="1" customWidth="1"/>
    <col min="9990" max="9990" width="26.85546875" style="15" bestFit="1" customWidth="1"/>
    <col min="9991" max="10241" width="9.140625" style="15"/>
    <col min="10242" max="10242" width="25.28515625" style="15" bestFit="1" customWidth="1"/>
    <col min="10243" max="10243" width="26.7109375" style="15" bestFit="1" customWidth="1"/>
    <col min="10244" max="10244" width="26.85546875" style="15" bestFit="1" customWidth="1"/>
    <col min="10245" max="10245" width="26.7109375" style="15" bestFit="1" customWidth="1"/>
    <col min="10246" max="10246" width="26.85546875" style="15" bestFit="1" customWidth="1"/>
    <col min="10247" max="10497" width="9.140625" style="15"/>
    <col min="10498" max="10498" width="25.28515625" style="15" bestFit="1" customWidth="1"/>
    <col min="10499" max="10499" width="26.7109375" style="15" bestFit="1" customWidth="1"/>
    <col min="10500" max="10500" width="26.85546875" style="15" bestFit="1" customWidth="1"/>
    <col min="10501" max="10501" width="26.7109375" style="15" bestFit="1" customWidth="1"/>
    <col min="10502" max="10502" width="26.85546875" style="15" bestFit="1" customWidth="1"/>
    <col min="10503" max="10753" width="9.140625" style="15"/>
    <col min="10754" max="10754" width="25.28515625" style="15" bestFit="1" customWidth="1"/>
    <col min="10755" max="10755" width="26.7109375" style="15" bestFit="1" customWidth="1"/>
    <col min="10756" max="10756" width="26.85546875" style="15" bestFit="1" customWidth="1"/>
    <col min="10757" max="10757" width="26.7109375" style="15" bestFit="1" customWidth="1"/>
    <col min="10758" max="10758" width="26.85546875" style="15" bestFit="1" customWidth="1"/>
    <col min="10759" max="11009" width="9.140625" style="15"/>
    <col min="11010" max="11010" width="25.28515625" style="15" bestFit="1" customWidth="1"/>
    <col min="11011" max="11011" width="26.7109375" style="15" bestFit="1" customWidth="1"/>
    <col min="11012" max="11012" width="26.85546875" style="15" bestFit="1" customWidth="1"/>
    <col min="11013" max="11013" width="26.7109375" style="15" bestFit="1" customWidth="1"/>
    <col min="11014" max="11014" width="26.85546875" style="15" bestFit="1" customWidth="1"/>
    <col min="11015" max="11265" width="9.140625" style="15"/>
    <col min="11266" max="11266" width="25.28515625" style="15" bestFit="1" customWidth="1"/>
    <col min="11267" max="11267" width="26.7109375" style="15" bestFit="1" customWidth="1"/>
    <col min="11268" max="11268" width="26.85546875" style="15" bestFit="1" customWidth="1"/>
    <col min="11269" max="11269" width="26.7109375" style="15" bestFit="1" customWidth="1"/>
    <col min="11270" max="11270" width="26.85546875" style="15" bestFit="1" customWidth="1"/>
    <col min="11271" max="11521" width="9.140625" style="15"/>
    <col min="11522" max="11522" width="25.28515625" style="15" bestFit="1" customWidth="1"/>
    <col min="11523" max="11523" width="26.7109375" style="15" bestFit="1" customWidth="1"/>
    <col min="11524" max="11524" width="26.85546875" style="15" bestFit="1" customWidth="1"/>
    <col min="11525" max="11525" width="26.7109375" style="15" bestFit="1" customWidth="1"/>
    <col min="11526" max="11526" width="26.85546875" style="15" bestFit="1" customWidth="1"/>
    <col min="11527" max="11777" width="9.140625" style="15"/>
    <col min="11778" max="11778" width="25.28515625" style="15" bestFit="1" customWidth="1"/>
    <col min="11779" max="11779" width="26.7109375" style="15" bestFit="1" customWidth="1"/>
    <col min="11780" max="11780" width="26.85546875" style="15" bestFit="1" customWidth="1"/>
    <col min="11781" max="11781" width="26.7109375" style="15" bestFit="1" customWidth="1"/>
    <col min="11782" max="11782" width="26.85546875" style="15" bestFit="1" customWidth="1"/>
    <col min="11783" max="12033" width="9.140625" style="15"/>
    <col min="12034" max="12034" width="25.28515625" style="15" bestFit="1" customWidth="1"/>
    <col min="12035" max="12035" width="26.7109375" style="15" bestFit="1" customWidth="1"/>
    <col min="12036" max="12036" width="26.85546875" style="15" bestFit="1" customWidth="1"/>
    <col min="12037" max="12037" width="26.7109375" style="15" bestFit="1" customWidth="1"/>
    <col min="12038" max="12038" width="26.85546875" style="15" bestFit="1" customWidth="1"/>
    <col min="12039" max="12289" width="9.140625" style="15"/>
    <col min="12290" max="12290" width="25.28515625" style="15" bestFit="1" customWidth="1"/>
    <col min="12291" max="12291" width="26.7109375" style="15" bestFit="1" customWidth="1"/>
    <col min="12292" max="12292" width="26.85546875" style="15" bestFit="1" customWidth="1"/>
    <col min="12293" max="12293" width="26.7109375" style="15" bestFit="1" customWidth="1"/>
    <col min="12294" max="12294" width="26.85546875" style="15" bestFit="1" customWidth="1"/>
    <col min="12295" max="12545" width="9.140625" style="15"/>
    <col min="12546" max="12546" width="25.28515625" style="15" bestFit="1" customWidth="1"/>
    <col min="12547" max="12547" width="26.7109375" style="15" bestFit="1" customWidth="1"/>
    <col min="12548" max="12548" width="26.85546875" style="15" bestFit="1" customWidth="1"/>
    <col min="12549" max="12549" width="26.7109375" style="15" bestFit="1" customWidth="1"/>
    <col min="12550" max="12550" width="26.85546875" style="15" bestFit="1" customWidth="1"/>
    <col min="12551" max="12801" width="9.140625" style="15"/>
    <col min="12802" max="12802" width="25.28515625" style="15" bestFit="1" customWidth="1"/>
    <col min="12803" max="12803" width="26.7109375" style="15" bestFit="1" customWidth="1"/>
    <col min="12804" max="12804" width="26.85546875" style="15" bestFit="1" customWidth="1"/>
    <col min="12805" max="12805" width="26.7109375" style="15" bestFit="1" customWidth="1"/>
    <col min="12806" max="12806" width="26.85546875" style="15" bestFit="1" customWidth="1"/>
    <col min="12807" max="13057" width="9.140625" style="15"/>
    <col min="13058" max="13058" width="25.28515625" style="15" bestFit="1" customWidth="1"/>
    <col min="13059" max="13059" width="26.7109375" style="15" bestFit="1" customWidth="1"/>
    <col min="13060" max="13060" width="26.85546875" style="15" bestFit="1" customWidth="1"/>
    <col min="13061" max="13061" width="26.7109375" style="15" bestFit="1" customWidth="1"/>
    <col min="13062" max="13062" width="26.85546875" style="15" bestFit="1" customWidth="1"/>
    <col min="13063" max="13313" width="9.140625" style="15"/>
    <col min="13314" max="13314" width="25.28515625" style="15" bestFit="1" customWidth="1"/>
    <col min="13315" max="13315" width="26.7109375" style="15" bestFit="1" customWidth="1"/>
    <col min="13316" max="13316" width="26.85546875" style="15" bestFit="1" customWidth="1"/>
    <col min="13317" max="13317" width="26.7109375" style="15" bestFit="1" customWidth="1"/>
    <col min="13318" max="13318" width="26.85546875" style="15" bestFit="1" customWidth="1"/>
    <col min="13319" max="13569" width="9.140625" style="15"/>
    <col min="13570" max="13570" width="25.28515625" style="15" bestFit="1" customWidth="1"/>
    <col min="13571" max="13571" width="26.7109375" style="15" bestFit="1" customWidth="1"/>
    <col min="13572" max="13572" width="26.85546875" style="15" bestFit="1" customWidth="1"/>
    <col min="13573" max="13573" width="26.7109375" style="15" bestFit="1" customWidth="1"/>
    <col min="13574" max="13574" width="26.85546875" style="15" bestFit="1" customWidth="1"/>
    <col min="13575" max="13825" width="9.140625" style="15"/>
    <col min="13826" max="13826" width="25.28515625" style="15" bestFit="1" customWidth="1"/>
    <col min="13827" max="13827" width="26.7109375" style="15" bestFit="1" customWidth="1"/>
    <col min="13828" max="13828" width="26.85546875" style="15" bestFit="1" customWidth="1"/>
    <col min="13829" max="13829" width="26.7109375" style="15" bestFit="1" customWidth="1"/>
    <col min="13830" max="13830" width="26.85546875" style="15" bestFit="1" customWidth="1"/>
    <col min="13831" max="14081" width="9.140625" style="15"/>
    <col min="14082" max="14082" width="25.28515625" style="15" bestFit="1" customWidth="1"/>
    <col min="14083" max="14083" width="26.7109375" style="15" bestFit="1" customWidth="1"/>
    <col min="14084" max="14084" width="26.85546875" style="15" bestFit="1" customWidth="1"/>
    <col min="14085" max="14085" width="26.7109375" style="15" bestFit="1" customWidth="1"/>
    <col min="14086" max="14086" width="26.85546875" style="15" bestFit="1" customWidth="1"/>
    <col min="14087" max="14337" width="9.140625" style="15"/>
    <col min="14338" max="14338" width="25.28515625" style="15" bestFit="1" customWidth="1"/>
    <col min="14339" max="14339" width="26.7109375" style="15" bestFit="1" customWidth="1"/>
    <col min="14340" max="14340" width="26.85546875" style="15" bestFit="1" customWidth="1"/>
    <col min="14341" max="14341" width="26.7109375" style="15" bestFit="1" customWidth="1"/>
    <col min="14342" max="14342" width="26.85546875" style="15" bestFit="1" customWidth="1"/>
    <col min="14343" max="14593" width="9.140625" style="15"/>
    <col min="14594" max="14594" width="25.28515625" style="15" bestFit="1" customWidth="1"/>
    <col min="14595" max="14595" width="26.7109375" style="15" bestFit="1" customWidth="1"/>
    <col min="14596" max="14596" width="26.85546875" style="15" bestFit="1" customWidth="1"/>
    <col min="14597" max="14597" width="26.7109375" style="15" bestFit="1" customWidth="1"/>
    <col min="14598" max="14598" width="26.85546875" style="15" bestFit="1" customWidth="1"/>
    <col min="14599" max="14849" width="9.140625" style="15"/>
    <col min="14850" max="14850" width="25.28515625" style="15" bestFit="1" customWidth="1"/>
    <col min="14851" max="14851" width="26.7109375" style="15" bestFit="1" customWidth="1"/>
    <col min="14852" max="14852" width="26.85546875" style="15" bestFit="1" customWidth="1"/>
    <col min="14853" max="14853" width="26.7109375" style="15" bestFit="1" customWidth="1"/>
    <col min="14854" max="14854" width="26.85546875" style="15" bestFit="1" customWidth="1"/>
    <col min="14855" max="15105" width="9.140625" style="15"/>
    <col min="15106" max="15106" width="25.28515625" style="15" bestFit="1" customWidth="1"/>
    <col min="15107" max="15107" width="26.7109375" style="15" bestFit="1" customWidth="1"/>
    <col min="15108" max="15108" width="26.85546875" style="15" bestFit="1" customWidth="1"/>
    <col min="15109" max="15109" width="26.7109375" style="15" bestFit="1" customWidth="1"/>
    <col min="15110" max="15110" width="26.85546875" style="15" bestFit="1" customWidth="1"/>
    <col min="15111" max="15361" width="9.140625" style="15"/>
    <col min="15362" max="15362" width="25.28515625" style="15" bestFit="1" customWidth="1"/>
    <col min="15363" max="15363" width="26.7109375" style="15" bestFit="1" customWidth="1"/>
    <col min="15364" max="15364" width="26.85546875" style="15" bestFit="1" customWidth="1"/>
    <col min="15365" max="15365" width="26.7109375" style="15" bestFit="1" customWidth="1"/>
    <col min="15366" max="15366" width="26.85546875" style="15" bestFit="1" customWidth="1"/>
    <col min="15367" max="15617" width="9.140625" style="15"/>
    <col min="15618" max="15618" width="25.28515625" style="15" bestFit="1" customWidth="1"/>
    <col min="15619" max="15619" width="26.7109375" style="15" bestFit="1" customWidth="1"/>
    <col min="15620" max="15620" width="26.85546875" style="15" bestFit="1" customWidth="1"/>
    <col min="15621" max="15621" width="26.7109375" style="15" bestFit="1" customWidth="1"/>
    <col min="15622" max="15622" width="26.85546875" style="15" bestFit="1" customWidth="1"/>
    <col min="15623" max="15873" width="9.140625" style="15"/>
    <col min="15874" max="15874" width="25.28515625" style="15" bestFit="1" customWidth="1"/>
    <col min="15875" max="15875" width="26.7109375" style="15" bestFit="1" customWidth="1"/>
    <col min="15876" max="15876" width="26.85546875" style="15" bestFit="1" customWidth="1"/>
    <col min="15877" max="15877" width="26.7109375" style="15" bestFit="1" customWidth="1"/>
    <col min="15878" max="15878" width="26.85546875" style="15" bestFit="1" customWidth="1"/>
    <col min="15879" max="16129" width="9.140625" style="15"/>
    <col min="16130" max="16130" width="25.28515625" style="15" bestFit="1" customWidth="1"/>
    <col min="16131" max="16131" width="26.7109375" style="15" bestFit="1" customWidth="1"/>
    <col min="16132" max="16132" width="26.85546875" style="15" bestFit="1" customWidth="1"/>
    <col min="16133" max="16133" width="26.7109375" style="15" bestFit="1" customWidth="1"/>
    <col min="16134" max="16134" width="26.85546875" style="15" bestFit="1" customWidth="1"/>
    <col min="16135" max="16384" width="9.140625" style="15"/>
  </cols>
  <sheetData>
    <row r="1" spans="1:19" ht="19.5" thickBot="1" x14ac:dyDescent="0.35">
      <c r="A1" s="369" t="s">
        <v>131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1"/>
    </row>
    <row r="2" spans="1:19" x14ac:dyDescent="0.25">
      <c r="A2" s="14" t="s">
        <v>163</v>
      </c>
    </row>
    <row r="5" spans="1:19" ht="45" customHeight="1" x14ac:dyDescent="0.25">
      <c r="A5" s="367" t="s">
        <v>71</v>
      </c>
      <c r="B5" s="367" t="s">
        <v>72</v>
      </c>
      <c r="C5" s="367" t="s">
        <v>101</v>
      </c>
      <c r="D5" s="367"/>
      <c r="E5" s="367"/>
      <c r="F5" s="367" t="s">
        <v>102</v>
      </c>
      <c r="G5" s="367"/>
      <c r="H5" s="367"/>
      <c r="I5" s="367" t="s">
        <v>113</v>
      </c>
      <c r="J5" s="367"/>
      <c r="K5" s="367"/>
      <c r="L5" s="367" t="s">
        <v>103</v>
      </c>
      <c r="M5" s="367"/>
      <c r="N5" s="367"/>
      <c r="O5" s="13"/>
      <c r="P5" s="367" t="s">
        <v>73</v>
      </c>
      <c r="Q5" s="367"/>
      <c r="R5" s="367"/>
    </row>
    <row r="6" spans="1:19" x14ac:dyDescent="0.25">
      <c r="A6" s="367"/>
      <c r="B6" s="367"/>
      <c r="C6" s="367" t="s">
        <v>74</v>
      </c>
      <c r="D6" s="367"/>
      <c r="E6" s="367"/>
      <c r="F6" s="367" t="s">
        <v>75</v>
      </c>
      <c r="G6" s="367"/>
      <c r="H6" s="367"/>
      <c r="I6" s="367" t="s">
        <v>76</v>
      </c>
      <c r="J6" s="367"/>
      <c r="K6" s="367"/>
      <c r="L6" s="367" t="s">
        <v>76</v>
      </c>
      <c r="M6" s="367"/>
      <c r="N6" s="367"/>
      <c r="O6" s="13"/>
      <c r="P6" s="367" t="s">
        <v>76</v>
      </c>
      <c r="Q6" s="367"/>
      <c r="R6" s="367"/>
    </row>
    <row r="7" spans="1:19" ht="25.5" x14ac:dyDescent="0.25">
      <c r="A7" s="367"/>
      <c r="B7" s="367"/>
      <c r="C7" s="273" t="s">
        <v>77</v>
      </c>
      <c r="D7" s="274" t="s">
        <v>78</v>
      </c>
      <c r="E7" s="273" t="s">
        <v>79</v>
      </c>
      <c r="F7" s="273" t="s">
        <v>77</v>
      </c>
      <c r="G7" s="273" t="s">
        <v>78</v>
      </c>
      <c r="H7" s="273" t="s">
        <v>79</v>
      </c>
      <c r="I7" s="273" t="s">
        <v>77</v>
      </c>
      <c r="J7" s="273" t="s">
        <v>78</v>
      </c>
      <c r="K7" s="273" t="s">
        <v>79</v>
      </c>
      <c r="L7" s="273" t="s">
        <v>77</v>
      </c>
      <c r="M7" s="273" t="s">
        <v>78</v>
      </c>
      <c r="N7" s="273" t="s">
        <v>79</v>
      </c>
      <c r="O7" s="13"/>
      <c r="P7" s="273" t="s">
        <v>77</v>
      </c>
      <c r="Q7" s="273" t="s">
        <v>78</v>
      </c>
      <c r="R7" s="273" t="s">
        <v>79</v>
      </c>
      <c r="S7" s="273" t="s">
        <v>57</v>
      </c>
    </row>
    <row r="8" spans="1:19" x14ac:dyDescent="0.25">
      <c r="A8" s="275" t="s">
        <v>107</v>
      </c>
      <c r="B8" s="275" t="s">
        <v>83</v>
      </c>
      <c r="C8" s="276">
        <v>22</v>
      </c>
      <c r="D8" s="277">
        <v>4</v>
      </c>
      <c r="E8" s="275">
        <v>4</v>
      </c>
      <c r="F8" s="278">
        <v>22.203771314859388</v>
      </c>
      <c r="G8" s="278">
        <v>12.527216079678043</v>
      </c>
      <c r="H8" s="278">
        <v>8.5345473551216742</v>
      </c>
      <c r="I8" s="275">
        <v>15</v>
      </c>
      <c r="J8" s="279">
        <f>I8</f>
        <v>15</v>
      </c>
      <c r="K8" s="279">
        <f>J8</f>
        <v>15</v>
      </c>
      <c r="L8" s="280">
        <f>0.05*(C8*F8*I8)</f>
        <v>366.36222669517997</v>
      </c>
      <c r="M8" s="280">
        <f>0.05*(D8*G8*J8)</f>
        <v>37.581648239034131</v>
      </c>
      <c r="N8" s="280">
        <f>0.05*(E8*H8*K8)</f>
        <v>25.603642065365023</v>
      </c>
      <c r="O8" s="14"/>
      <c r="P8" s="281">
        <f>C8*F8*I8+L8</f>
        <v>7693.6067605987782</v>
      </c>
      <c r="Q8" s="281">
        <f>D8*G8*J8+M8</f>
        <v>789.21461301971669</v>
      </c>
      <c r="R8" s="281">
        <f>E8*H8*K8+N8</f>
        <v>537.67648337266542</v>
      </c>
      <c r="S8" s="281">
        <f>SUM(P8:R8)</f>
        <v>9020.49785699116</v>
      </c>
    </row>
    <row r="9" spans="1:19" x14ac:dyDescent="0.25">
      <c r="A9" s="275" t="s">
        <v>108</v>
      </c>
      <c r="B9" s="275" t="s">
        <v>84</v>
      </c>
      <c r="C9" s="276">
        <v>22</v>
      </c>
      <c r="D9" s="277">
        <v>4</v>
      </c>
      <c r="E9" s="275">
        <v>4</v>
      </c>
      <c r="F9" s="278">
        <v>16.180657725005418</v>
      </c>
      <c r="G9" s="278">
        <v>9.1290165421944796</v>
      </c>
      <c r="H9" s="278">
        <v>6.2194204593819284</v>
      </c>
      <c r="I9" s="275">
        <v>20.7</v>
      </c>
      <c r="J9" s="279">
        <f t="shared" ref="J9:K9" si="0">I9</f>
        <v>20.7</v>
      </c>
      <c r="K9" s="279">
        <f t="shared" si="0"/>
        <v>20.7</v>
      </c>
      <c r="L9" s="280">
        <f t="shared" ref="L9:M10" si="1">0.05*(C9*F9*I9)</f>
        <v>368.43357639837336</v>
      </c>
      <c r="M9" s="280">
        <f t="shared" si="1"/>
        <v>37.794128484685146</v>
      </c>
      <c r="N9" s="280">
        <f t="shared" ref="N9:N10" si="2">0.05*(E9*H9*K9)</f>
        <v>25.748400701841184</v>
      </c>
      <c r="O9" s="14"/>
      <c r="P9" s="281">
        <f t="shared" ref="P9:R14" si="3">C9*F9*I9+L9</f>
        <v>7737.1051043658408</v>
      </c>
      <c r="Q9" s="281">
        <f t="shared" si="3"/>
        <v>793.67669817838805</v>
      </c>
      <c r="R9" s="281">
        <f t="shared" si="3"/>
        <v>540.71641473866487</v>
      </c>
      <c r="S9" s="281">
        <f t="shared" ref="S9:S14" si="4">SUM(P9:R9)</f>
        <v>9071.4982172828932</v>
      </c>
    </row>
    <row r="10" spans="1:19" x14ac:dyDescent="0.25">
      <c r="A10" s="275" t="s">
        <v>145</v>
      </c>
      <c r="B10" s="275" t="s">
        <v>85</v>
      </c>
      <c r="C10" s="276">
        <v>22</v>
      </c>
      <c r="D10" s="277">
        <v>4</v>
      </c>
      <c r="E10" s="275">
        <v>4</v>
      </c>
      <c r="F10" s="278">
        <v>40.882767836227892</v>
      </c>
      <c r="G10" s="278">
        <v>23.065778302129917</v>
      </c>
      <c r="H10" s="278">
        <v>15.714263723893959</v>
      </c>
      <c r="I10" s="275">
        <v>19.399999999999999</v>
      </c>
      <c r="J10" s="279">
        <f t="shared" ref="J10" si="5">I10</f>
        <v>19.399999999999999</v>
      </c>
      <c r="K10" s="279">
        <f t="shared" ref="K10" si="6">J10</f>
        <v>19.399999999999999</v>
      </c>
      <c r="L10" s="280">
        <f t="shared" si="1"/>
        <v>872.43826562510321</v>
      </c>
      <c r="M10" s="280">
        <f t="shared" si="1"/>
        <v>89.495219812264082</v>
      </c>
      <c r="N10" s="280">
        <f t="shared" si="2"/>
        <v>60.971343248708564</v>
      </c>
      <c r="O10" s="14"/>
      <c r="P10" s="281">
        <f t="shared" si="3"/>
        <v>18321.203578127166</v>
      </c>
      <c r="Q10" s="281">
        <f t="shared" si="3"/>
        <v>1879.3996160575457</v>
      </c>
      <c r="R10" s="281">
        <f t="shared" si="3"/>
        <v>1280.3982082228797</v>
      </c>
      <c r="S10" s="281">
        <f t="shared" si="4"/>
        <v>21481.00140240759</v>
      </c>
    </row>
    <row r="11" spans="1:19" x14ac:dyDescent="0.25">
      <c r="A11" s="275" t="s">
        <v>146</v>
      </c>
      <c r="B11" s="275" t="s">
        <v>86</v>
      </c>
      <c r="C11" s="276">
        <v>22</v>
      </c>
      <c r="D11" s="277">
        <v>4</v>
      </c>
      <c r="E11" s="275">
        <v>4</v>
      </c>
      <c r="F11" s="278">
        <v>19.821672790486712</v>
      </c>
      <c r="G11" s="278">
        <v>11.183252366724098</v>
      </c>
      <c r="H11" s="278">
        <v>7.6189311576508159</v>
      </c>
      <c r="I11" s="275">
        <v>24.6</v>
      </c>
      <c r="J11" s="279">
        <f t="shared" ref="J11:K14" si="7">I11</f>
        <v>24.6</v>
      </c>
      <c r="K11" s="279">
        <f t="shared" si="7"/>
        <v>24.6</v>
      </c>
      <c r="L11" s="280">
        <f t="shared" ref="L11:N14" si="8">0.05*(C11*F11*I11)</f>
        <v>536.37446571057046</v>
      </c>
      <c r="M11" s="280">
        <f t="shared" si="8"/>
        <v>55.021601644282569</v>
      </c>
      <c r="N11" s="280">
        <f t="shared" si="8"/>
        <v>37.485141295642016</v>
      </c>
      <c r="O11" s="14"/>
      <c r="P11" s="281">
        <f t="shared" si="3"/>
        <v>11263.86377992198</v>
      </c>
      <c r="Q11" s="281">
        <f t="shared" si="3"/>
        <v>1155.4536345299339</v>
      </c>
      <c r="R11" s="281">
        <f t="shared" si="3"/>
        <v>787.18796720848241</v>
      </c>
      <c r="S11" s="281">
        <f t="shared" si="4"/>
        <v>13206.505381660398</v>
      </c>
    </row>
    <row r="12" spans="1:19" x14ac:dyDescent="0.25">
      <c r="A12" s="275" t="s">
        <v>109</v>
      </c>
      <c r="B12" s="275" t="s">
        <v>87</v>
      </c>
      <c r="C12" s="276">
        <v>22</v>
      </c>
      <c r="D12" s="277">
        <v>4</v>
      </c>
      <c r="E12" s="275">
        <v>4</v>
      </c>
      <c r="F12" s="278">
        <v>23.246775384241268</v>
      </c>
      <c r="G12" s="278">
        <v>13.115671849819497</v>
      </c>
      <c r="H12" s="278">
        <v>8.9354507645243402</v>
      </c>
      <c r="I12" s="275">
        <v>32.5</v>
      </c>
      <c r="J12" s="279">
        <f t="shared" si="7"/>
        <v>32.5</v>
      </c>
      <c r="K12" s="279">
        <f t="shared" si="7"/>
        <v>32.5</v>
      </c>
      <c r="L12" s="280">
        <f t="shared" si="8"/>
        <v>831.07221998662544</v>
      </c>
      <c r="M12" s="280">
        <f t="shared" si="8"/>
        <v>85.251867023826733</v>
      </c>
      <c r="N12" s="280">
        <f t="shared" si="8"/>
        <v>58.080429969408215</v>
      </c>
      <c r="O12" s="14"/>
      <c r="P12" s="281">
        <f t="shared" si="3"/>
        <v>17452.516619719132</v>
      </c>
      <c r="Q12" s="281">
        <f t="shared" si="3"/>
        <v>1790.2892075003613</v>
      </c>
      <c r="R12" s="281">
        <f t="shared" si="3"/>
        <v>1219.6890293575725</v>
      </c>
      <c r="S12" s="281">
        <f t="shared" si="4"/>
        <v>20462.494856577068</v>
      </c>
    </row>
    <row r="13" spans="1:19" x14ac:dyDescent="0.25">
      <c r="A13" s="275" t="s">
        <v>110</v>
      </c>
      <c r="B13" s="275" t="s">
        <v>88</v>
      </c>
      <c r="C13" s="276">
        <v>22</v>
      </c>
      <c r="D13" s="277">
        <v>4</v>
      </c>
      <c r="E13" s="275">
        <v>4</v>
      </c>
      <c r="F13" s="278">
        <v>22.13426047743631</v>
      </c>
      <c r="G13" s="278">
        <v>12.487998540101984</v>
      </c>
      <c r="H13" s="278">
        <v>8.5078292122769756</v>
      </c>
      <c r="I13" s="275">
        <v>28.4</v>
      </c>
      <c r="J13" s="279">
        <f t="shared" si="7"/>
        <v>28.4</v>
      </c>
      <c r="K13" s="279">
        <f t="shared" si="7"/>
        <v>28.4</v>
      </c>
      <c r="L13" s="280">
        <f t="shared" si="8"/>
        <v>691.47429731511033</v>
      </c>
      <c r="M13" s="280">
        <f t="shared" si="8"/>
        <v>70.931831707779267</v>
      </c>
      <c r="N13" s="280">
        <f t="shared" si="8"/>
        <v>48.324469925733219</v>
      </c>
      <c r="O13" s="14"/>
      <c r="P13" s="281">
        <f t="shared" si="3"/>
        <v>14520.960243617315</v>
      </c>
      <c r="Q13" s="281">
        <f t="shared" si="3"/>
        <v>1489.5684658633645</v>
      </c>
      <c r="R13" s="281">
        <f t="shared" si="3"/>
        <v>1014.8138684403975</v>
      </c>
      <c r="S13" s="281">
        <f t="shared" si="4"/>
        <v>17025.342577921077</v>
      </c>
    </row>
    <row r="14" spans="1:19" ht="15.75" thickBot="1" x14ac:dyDescent="0.3">
      <c r="A14" s="275" t="s">
        <v>129</v>
      </c>
      <c r="B14" s="275" t="s">
        <v>89</v>
      </c>
      <c r="C14" s="276">
        <v>22</v>
      </c>
      <c r="D14" s="277">
        <v>4</v>
      </c>
      <c r="E14" s="275">
        <v>4</v>
      </c>
      <c r="F14" s="278">
        <v>10.67434795331371</v>
      </c>
      <c r="G14" s="278">
        <v>6.0223941881143777</v>
      </c>
      <c r="H14" s="278">
        <v>4.1029393971300179</v>
      </c>
      <c r="I14" s="275">
        <v>14.2</v>
      </c>
      <c r="J14" s="279">
        <f t="shared" si="7"/>
        <v>14.2</v>
      </c>
      <c r="K14" s="279">
        <f t="shared" si="7"/>
        <v>14.2</v>
      </c>
      <c r="L14" s="280">
        <f t="shared" si="8"/>
        <v>166.73331503076014</v>
      </c>
      <c r="M14" s="280">
        <f t="shared" si="8"/>
        <v>17.103599494244833</v>
      </c>
      <c r="N14" s="280">
        <f t="shared" si="8"/>
        <v>11.652347887849251</v>
      </c>
      <c r="O14" s="14"/>
      <c r="P14" s="281">
        <f t="shared" si="3"/>
        <v>3501.3996156459625</v>
      </c>
      <c r="Q14" s="281">
        <f t="shared" si="3"/>
        <v>359.17558937914146</v>
      </c>
      <c r="R14" s="281">
        <f t="shared" si="3"/>
        <v>244.69930564483425</v>
      </c>
      <c r="S14" s="281">
        <f t="shared" si="4"/>
        <v>4105.2745106699385</v>
      </c>
    </row>
    <row r="15" spans="1:19" ht="15.75" thickBot="1" x14ac:dyDescent="0.3">
      <c r="N15" s="45"/>
      <c r="S15" s="283">
        <f>SUM(S8:S14)</f>
        <v>94372.614803510136</v>
      </c>
    </row>
    <row r="16" spans="1:19" x14ac:dyDescent="0.25">
      <c r="N16" s="45"/>
    </row>
    <row r="17" spans="1:19" x14ac:dyDescent="0.25">
      <c r="A17" s="368" t="s">
        <v>112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</row>
    <row r="18" spans="1:19" x14ac:dyDescent="0.25">
      <c r="A18" s="12"/>
    </row>
    <row r="19" spans="1:19" x14ac:dyDescent="0.25">
      <c r="A19" s="372" t="s">
        <v>71</v>
      </c>
      <c r="B19" s="372" t="s">
        <v>72</v>
      </c>
      <c r="C19" s="372" t="s">
        <v>97</v>
      </c>
      <c r="D19" s="373" t="s">
        <v>111</v>
      </c>
    </row>
    <row r="20" spans="1:19" x14ac:dyDescent="0.25">
      <c r="A20" s="372"/>
      <c r="B20" s="372"/>
      <c r="C20" s="372"/>
      <c r="D20" s="373"/>
    </row>
    <row r="21" spans="1:19" x14ac:dyDescent="0.25">
      <c r="A21" s="372"/>
      <c r="B21" s="372"/>
      <c r="C21" s="372"/>
      <c r="D21" s="373"/>
    </row>
    <row r="22" spans="1:19" x14ac:dyDescent="0.25">
      <c r="A22" s="284" t="s">
        <v>107</v>
      </c>
      <c r="B22" s="284" t="s">
        <v>83</v>
      </c>
      <c r="C22" s="285">
        <f>'1_Demanda'!D5</f>
        <v>40411</v>
      </c>
      <c r="D22" s="285">
        <v>3</v>
      </c>
    </row>
    <row r="23" spans="1:19" x14ac:dyDescent="0.25">
      <c r="A23" s="284" t="s">
        <v>108</v>
      </c>
      <c r="B23" s="284" t="s">
        <v>84</v>
      </c>
      <c r="C23" s="285">
        <f>'1_Demanda'!D6</f>
        <v>29449</v>
      </c>
      <c r="D23" s="285">
        <v>4</v>
      </c>
    </row>
    <row r="24" spans="1:19" x14ac:dyDescent="0.25">
      <c r="A24" s="284" t="s">
        <v>145</v>
      </c>
      <c r="B24" s="284" t="s">
        <v>85</v>
      </c>
      <c r="C24" s="285">
        <f>'1_Demanda'!D7</f>
        <v>74407</v>
      </c>
      <c r="D24" s="285">
        <v>4</v>
      </c>
    </row>
    <row r="25" spans="1:19" x14ac:dyDescent="0.25">
      <c r="A25" s="284" t="s">
        <v>146</v>
      </c>
      <c r="B25" s="284" t="s">
        <v>86</v>
      </c>
      <c r="C25" s="285">
        <f>'1_Demanda'!D8</f>
        <v>36075</v>
      </c>
      <c r="D25" s="285">
        <v>5</v>
      </c>
    </row>
    <row r="26" spans="1:19" x14ac:dyDescent="0.25">
      <c r="A26" s="284" t="s">
        <v>109</v>
      </c>
      <c r="B26" s="284" t="s">
        <v>87</v>
      </c>
      <c r="C26" s="285">
        <f>'1_Demanda'!D9</f>
        <v>42309</v>
      </c>
      <c r="D26" s="285">
        <v>6</v>
      </c>
    </row>
    <row r="27" spans="1:19" x14ac:dyDescent="0.25">
      <c r="A27" s="284" t="s">
        <v>110</v>
      </c>
      <c r="B27" s="284" t="s">
        <v>88</v>
      </c>
      <c r="C27" s="285">
        <f>'1_Demanda'!D10</f>
        <v>40284</v>
      </c>
      <c r="D27" s="285">
        <v>5</v>
      </c>
    </row>
    <row r="28" spans="1:19" x14ac:dyDescent="0.25">
      <c r="A28" s="288" t="s">
        <v>129</v>
      </c>
      <c r="B28" s="288" t="s">
        <v>89</v>
      </c>
      <c r="C28" s="289">
        <f>'1_Demanda'!D11</f>
        <v>19427</v>
      </c>
      <c r="D28" s="289">
        <v>3</v>
      </c>
    </row>
    <row r="29" spans="1:19" x14ac:dyDescent="0.25">
      <c r="A29" s="342" t="s">
        <v>147</v>
      </c>
      <c r="B29" s="290"/>
      <c r="C29" s="286">
        <f>SUM(C22:C28)</f>
        <v>282362</v>
      </c>
      <c r="D29" s="287">
        <f>SUM(D22:D28)</f>
        <v>30</v>
      </c>
    </row>
    <row r="30" spans="1:19" x14ac:dyDescent="0.25">
      <c r="A30" s="342" t="s">
        <v>148</v>
      </c>
      <c r="B30" s="291"/>
      <c r="C30" s="290"/>
      <c r="D30" s="287">
        <f>D29*1.1</f>
        <v>33</v>
      </c>
    </row>
  </sheetData>
  <mergeCells count="18">
    <mergeCell ref="C5:E5"/>
    <mergeCell ref="F5:H5"/>
    <mergeCell ref="I5:K5"/>
    <mergeCell ref="L5:N5"/>
    <mergeCell ref="A1:S1"/>
    <mergeCell ref="A17:S17"/>
    <mergeCell ref="A19:A21"/>
    <mergeCell ref="B19:B21"/>
    <mergeCell ref="C19:C21"/>
    <mergeCell ref="D19:D21"/>
    <mergeCell ref="P5:R5"/>
    <mergeCell ref="C6:E6"/>
    <mergeCell ref="F6:H6"/>
    <mergeCell ref="I6:K6"/>
    <mergeCell ref="L6:N6"/>
    <mergeCell ref="P6:R6"/>
    <mergeCell ref="A5:A7"/>
    <mergeCell ref="B5:B7"/>
  </mergeCells>
  <pageMargins left="0.511811024" right="0.511811024" top="0.78740157499999996" bottom="0.78740157499999996" header="0.31496062000000002" footer="0.31496062000000002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K81"/>
  <sheetViews>
    <sheetView showGridLines="0" zoomScaleNormal="100" zoomScaleSheetLayoutView="100" workbookViewId="0">
      <selection activeCell="J6" sqref="J6"/>
    </sheetView>
  </sheetViews>
  <sheetFormatPr defaultColWidth="9.140625" defaultRowHeight="12.75" x14ac:dyDescent="0.2"/>
  <cols>
    <col min="1" max="1" width="32.85546875" style="48" bestFit="1" customWidth="1"/>
    <col min="2" max="2" width="9.140625" style="48" bestFit="1" customWidth="1"/>
    <col min="3" max="3" width="6.5703125" style="48" bestFit="1" customWidth="1"/>
    <col min="4" max="4" width="24.42578125" style="48" bestFit="1" customWidth="1"/>
    <col min="5" max="5" width="15.42578125" style="48" bestFit="1" customWidth="1"/>
    <col min="6" max="6" width="28.42578125" style="48" bestFit="1" customWidth="1"/>
    <col min="7" max="7" width="11.28515625" style="48" bestFit="1" customWidth="1"/>
    <col min="8" max="8" width="13.140625" style="119" bestFit="1" customWidth="1"/>
    <col min="9" max="9" width="9.140625" style="48"/>
    <col min="10" max="10" width="10.5703125" style="48" customWidth="1"/>
    <col min="11" max="16384" width="9.140625" style="48"/>
  </cols>
  <sheetData>
    <row r="1" spans="1:245" ht="19.5" thickBot="1" x14ac:dyDescent="0.35">
      <c r="A1" s="369" t="s">
        <v>114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1"/>
    </row>
    <row r="2" spans="1:245" x14ac:dyDescent="0.2">
      <c r="A2" s="34"/>
      <c r="B2" s="120"/>
      <c r="C2" s="120"/>
      <c r="D2" s="120"/>
      <c r="E2" s="120"/>
      <c r="F2" s="120"/>
      <c r="G2" s="120"/>
      <c r="H2" s="121"/>
    </row>
    <row r="3" spans="1:245" x14ac:dyDescent="0.2">
      <c r="A3" s="122" t="s">
        <v>0</v>
      </c>
      <c r="B3" s="123">
        <f>12*'2.1_Dados_SUI.1'!S11/'2.1_Dados_SUI.1'!D22</f>
        <v>21657.63094679773</v>
      </c>
      <c r="C3" s="120"/>
      <c r="D3" s="120"/>
      <c r="E3" s="120"/>
      <c r="F3" s="124" t="s">
        <v>116</v>
      </c>
      <c r="G3" s="125"/>
      <c r="H3" s="126"/>
    </row>
    <row r="4" spans="1:245" x14ac:dyDescent="0.2">
      <c r="A4" s="122" t="s">
        <v>97</v>
      </c>
      <c r="B4" s="127">
        <f>B5-0.5*B6*B5</f>
        <v>79185.722457734635</v>
      </c>
      <c r="C4" s="120"/>
      <c r="D4" s="120"/>
      <c r="E4" s="128"/>
      <c r="F4" s="129" t="s">
        <v>90</v>
      </c>
      <c r="G4" s="130"/>
      <c r="H4" s="131">
        <v>281000</v>
      </c>
    </row>
    <row r="5" spans="1:245" x14ac:dyDescent="0.2">
      <c r="A5" s="122" t="s">
        <v>98</v>
      </c>
      <c r="B5" s="127">
        <f>'2.1_Dados_SUI.1'!C21</f>
        <v>87017.277426082015</v>
      </c>
      <c r="C5" s="120"/>
      <c r="D5" s="128"/>
      <c r="E5" s="132"/>
      <c r="F5" s="129" t="s">
        <v>91</v>
      </c>
      <c r="G5" s="130"/>
      <c r="H5" s="131">
        <v>179000</v>
      </c>
    </row>
    <row r="6" spans="1:245" x14ac:dyDescent="0.2">
      <c r="A6" s="122" t="s">
        <v>100</v>
      </c>
      <c r="B6" s="238">
        <v>0.18</v>
      </c>
      <c r="C6" s="120"/>
      <c r="D6" s="128"/>
      <c r="E6" s="132"/>
      <c r="F6" s="124" t="s">
        <v>1</v>
      </c>
      <c r="G6" s="130"/>
      <c r="H6" s="131">
        <f>H4+H5</f>
        <v>460000</v>
      </c>
    </row>
    <row r="7" spans="1:245" x14ac:dyDescent="0.2">
      <c r="A7" s="122" t="s">
        <v>99</v>
      </c>
      <c r="B7" s="133"/>
      <c r="C7" s="134"/>
      <c r="D7" s="128"/>
      <c r="E7" s="132"/>
      <c r="F7" s="124" t="s">
        <v>2</v>
      </c>
      <c r="G7" s="130"/>
      <c r="H7" s="131">
        <f>H6-(6*F25)</f>
        <v>450100</v>
      </c>
    </row>
    <row r="8" spans="1:245" x14ac:dyDescent="0.2">
      <c r="A8" s="122"/>
      <c r="B8" s="133"/>
      <c r="C8" s="120"/>
      <c r="D8" s="135"/>
      <c r="E8" s="120"/>
      <c r="F8" s="120"/>
      <c r="G8" s="120"/>
      <c r="H8" s="136"/>
    </row>
    <row r="9" spans="1:245" x14ac:dyDescent="0.2">
      <c r="A9" s="122" t="s">
        <v>3</v>
      </c>
      <c r="B9" s="133"/>
      <c r="C9" s="120"/>
      <c r="D9" s="120"/>
      <c r="E9" s="120"/>
      <c r="F9" s="124" t="s">
        <v>65</v>
      </c>
      <c r="G9" s="130"/>
      <c r="H9" s="137">
        <f>D47-1</f>
        <v>0.74320000000000008</v>
      </c>
    </row>
    <row r="10" spans="1:245" x14ac:dyDescent="0.2">
      <c r="A10" s="120"/>
      <c r="B10" s="343"/>
      <c r="C10" s="135"/>
      <c r="D10" s="135"/>
      <c r="E10" s="120"/>
      <c r="F10" s="135"/>
      <c r="G10" s="135"/>
      <c r="H10" s="135"/>
    </row>
    <row r="11" spans="1:245" x14ac:dyDescent="0.2">
      <c r="A11" s="374" t="s">
        <v>4</v>
      </c>
      <c r="B11" s="374"/>
      <c r="C11" s="375" t="s">
        <v>5</v>
      </c>
      <c r="D11" s="375"/>
      <c r="E11" s="375"/>
      <c r="F11" s="139" t="s">
        <v>6</v>
      </c>
      <c r="G11" s="140" t="s">
        <v>7</v>
      </c>
      <c r="H11" s="141" t="s">
        <v>8</v>
      </c>
    </row>
    <row r="12" spans="1:245" x14ac:dyDescent="0.2">
      <c r="A12" s="374"/>
      <c r="B12" s="374"/>
      <c r="C12" s="375"/>
      <c r="D12" s="375"/>
      <c r="E12" s="375"/>
      <c r="F12" s="142" t="s">
        <v>9</v>
      </c>
      <c r="G12" s="143" t="s">
        <v>10</v>
      </c>
      <c r="H12" s="144"/>
    </row>
    <row r="13" spans="1:245" x14ac:dyDescent="0.2">
      <c r="A13" s="35" t="s">
        <v>11</v>
      </c>
      <c r="B13" s="130"/>
      <c r="C13" s="124"/>
      <c r="D13" s="145"/>
      <c r="E13" s="145"/>
      <c r="F13" s="138" t="s">
        <v>12</v>
      </c>
      <c r="G13" s="36">
        <f>(G15+G20+G23+G29)</f>
        <v>3.5451591030224723</v>
      </c>
      <c r="H13" s="37">
        <f>(G13/$G$76)</f>
        <v>0.26269287678589465</v>
      </c>
    </row>
    <row r="14" spans="1:245" x14ac:dyDescent="0.2">
      <c r="A14" s="146"/>
      <c r="B14" s="147"/>
      <c r="C14" s="146"/>
      <c r="D14" s="120"/>
      <c r="E14" s="120"/>
      <c r="F14" s="148"/>
      <c r="G14" s="148"/>
      <c r="H14" s="149"/>
    </row>
    <row r="15" spans="1:245" s="10" customFormat="1" x14ac:dyDescent="0.2">
      <c r="A15" s="150" t="s">
        <v>13</v>
      </c>
      <c r="B15" s="151"/>
      <c r="C15" s="150"/>
      <c r="D15" s="152"/>
      <c r="E15" s="34"/>
      <c r="F15" s="153"/>
      <c r="G15" s="154">
        <f>G16+G18+G17</f>
        <v>2.0539700000000001</v>
      </c>
      <c r="H15" s="155">
        <f>(G15/$G$76)</f>
        <v>0.15219719974539711</v>
      </c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x14ac:dyDescent="0.2">
      <c r="A16" s="146" t="s">
        <v>70</v>
      </c>
      <c r="B16" s="156"/>
      <c r="C16" s="157"/>
      <c r="D16" s="158">
        <v>0.41</v>
      </c>
      <c r="E16" s="120" t="s">
        <v>14</v>
      </c>
      <c r="F16" s="159">
        <v>4.7770000000000001</v>
      </c>
      <c r="G16" s="160">
        <f>(D16*F16)</f>
        <v>1.9585699999999999</v>
      </c>
      <c r="H16" s="161">
        <f>(G16/$G$76)</f>
        <v>0.14512815158222486</v>
      </c>
      <c r="I16" s="90"/>
    </row>
    <row r="17" spans="1:245" x14ac:dyDescent="0.2">
      <c r="A17" s="146" t="s">
        <v>62</v>
      </c>
      <c r="B17" s="156"/>
      <c r="C17" s="150"/>
      <c r="D17" s="152"/>
      <c r="E17" s="120" t="s">
        <v>14</v>
      </c>
      <c r="F17" s="157"/>
      <c r="G17" s="160">
        <f>(F17*D17)</f>
        <v>0</v>
      </c>
      <c r="H17" s="161">
        <f>(G17/$G$76)</f>
        <v>0</v>
      </c>
      <c r="I17" s="212"/>
    </row>
    <row r="18" spans="1:245" x14ac:dyDescent="0.2">
      <c r="A18" s="146" t="s">
        <v>60</v>
      </c>
      <c r="B18" s="156"/>
      <c r="C18" s="157"/>
      <c r="D18" s="158">
        <v>0.03</v>
      </c>
      <c r="E18" s="120" t="s">
        <v>14</v>
      </c>
      <c r="F18" s="162">
        <v>3.18</v>
      </c>
      <c r="G18" s="160">
        <f>F18*D18</f>
        <v>9.5399999999999999E-2</v>
      </c>
      <c r="H18" s="161">
        <f>(G18/$G$76)</f>
        <v>7.0690481631722393E-3</v>
      </c>
      <c r="I18" s="90"/>
    </row>
    <row r="19" spans="1:245" x14ac:dyDescent="0.2">
      <c r="A19" s="146"/>
      <c r="B19" s="147"/>
      <c r="C19" s="146"/>
      <c r="D19" s="120"/>
      <c r="E19" s="120"/>
      <c r="F19" s="153"/>
      <c r="G19" s="148"/>
      <c r="H19" s="149"/>
      <c r="I19" s="90"/>
    </row>
    <row r="20" spans="1:245" s="10" customFormat="1" x14ac:dyDescent="0.2">
      <c r="A20" s="150" t="s">
        <v>15</v>
      </c>
      <c r="B20" s="151"/>
      <c r="C20" s="120"/>
      <c r="D20" s="152"/>
      <c r="E20" s="34"/>
      <c r="F20" s="153"/>
      <c r="G20" s="154">
        <f>G21</f>
        <v>0.11991831388304093</v>
      </c>
      <c r="H20" s="155">
        <f>(G20/$G$76)</f>
        <v>8.8858316193461476E-3</v>
      </c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x14ac:dyDescent="0.2">
      <c r="A21" s="146" t="s">
        <v>119</v>
      </c>
      <c r="B21" s="147"/>
      <c r="C21" s="163"/>
      <c r="D21" s="158">
        <f>0.0265*D16</f>
        <v>1.0865E-2</v>
      </c>
      <c r="E21" s="120" t="s">
        <v>14</v>
      </c>
      <c r="F21" s="162">
        <v>11.037120467836257</v>
      </c>
      <c r="G21" s="160">
        <f>(D21*F21)</f>
        <v>0.11991831388304093</v>
      </c>
      <c r="H21" s="161">
        <f>(G21/$G$76)</f>
        <v>8.8858316193461476E-3</v>
      </c>
      <c r="I21" s="90"/>
    </row>
    <row r="22" spans="1:245" x14ac:dyDescent="0.2">
      <c r="A22" s="146"/>
      <c r="B22" s="147"/>
      <c r="C22" s="146"/>
      <c r="D22" s="120"/>
      <c r="E22" s="120"/>
      <c r="F22" s="153"/>
      <c r="G22" s="148"/>
      <c r="H22" s="149"/>
    </row>
    <row r="23" spans="1:245" s="10" customFormat="1" x14ac:dyDescent="0.2">
      <c r="A23" s="150" t="s">
        <v>16</v>
      </c>
      <c r="B23" s="151"/>
      <c r="C23" s="150"/>
      <c r="D23" s="34"/>
      <c r="E23" s="34"/>
      <c r="F23" s="153"/>
      <c r="G23" s="36">
        <f>(G24+G25)</f>
        <v>0.12432000000000001</v>
      </c>
      <c r="H23" s="37">
        <f>(G23/$G$76)</f>
        <v>9.2119923233288572E-3</v>
      </c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x14ac:dyDescent="0.2">
      <c r="A24" s="146" t="s">
        <v>17</v>
      </c>
      <c r="B24" s="147"/>
      <c r="C24" s="120"/>
      <c r="D24" s="120">
        <v>2</v>
      </c>
      <c r="E24" s="120"/>
      <c r="F24" s="162">
        <v>470</v>
      </c>
      <c r="G24" s="160">
        <f>((D24*6*F24)/D25)</f>
        <v>4.512E-2</v>
      </c>
      <c r="H24" s="161">
        <f>(G24/$G$76)</f>
        <v>3.3433485652236E-3</v>
      </c>
    </row>
    <row r="25" spans="1:245" x14ac:dyDescent="0.2">
      <c r="A25" s="146" t="s">
        <v>118</v>
      </c>
      <c r="B25" s="147"/>
      <c r="C25" s="120"/>
      <c r="D25" s="164">
        <v>125000</v>
      </c>
      <c r="E25" s="120" t="s">
        <v>19</v>
      </c>
      <c r="F25" s="162">
        <v>1650</v>
      </c>
      <c r="G25" s="160">
        <f>((6*F25)/D25)</f>
        <v>7.9200000000000007E-2</v>
      </c>
      <c r="H25" s="161">
        <f>(G25/$G$76)</f>
        <v>5.8686437581052563E-3</v>
      </c>
    </row>
    <row r="26" spans="1:245" x14ac:dyDescent="0.2">
      <c r="A26" s="146" t="s">
        <v>20</v>
      </c>
      <c r="B26" s="147"/>
      <c r="C26" s="120"/>
      <c r="D26" s="165" t="s">
        <v>117</v>
      </c>
      <c r="E26" s="120"/>
      <c r="F26" s="166" t="s">
        <v>61</v>
      </c>
      <c r="G26" s="166" t="s">
        <v>61</v>
      </c>
      <c r="H26" s="161"/>
    </row>
    <row r="27" spans="1:245" x14ac:dyDescent="0.2">
      <c r="A27" s="146" t="s">
        <v>21</v>
      </c>
      <c r="B27" s="147"/>
      <c r="C27" s="120"/>
      <c r="D27" s="165" t="s">
        <v>117</v>
      </c>
      <c r="E27" s="120"/>
      <c r="F27" s="166" t="s">
        <v>61</v>
      </c>
      <c r="G27" s="166" t="s">
        <v>61</v>
      </c>
      <c r="H27" s="161"/>
    </row>
    <row r="28" spans="1:245" x14ac:dyDescent="0.2">
      <c r="A28" s="146"/>
      <c r="B28" s="147"/>
      <c r="C28" s="146"/>
      <c r="D28" s="120"/>
      <c r="E28" s="120"/>
      <c r="F28" s="148"/>
      <c r="G28" s="148"/>
      <c r="H28" s="149"/>
    </row>
    <row r="29" spans="1:245" s="10" customFormat="1" x14ac:dyDescent="0.2">
      <c r="A29" s="150" t="s">
        <v>22</v>
      </c>
      <c r="B29" s="151"/>
      <c r="C29" s="150"/>
      <c r="D29" s="164"/>
      <c r="E29" s="120"/>
      <c r="F29" s="167"/>
      <c r="G29" s="36">
        <f>0.06*'2.1_Dados_SUI.1'!D22*H7/12/'2.1_Dados_SUI.1'!S11</f>
        <v>1.2469507891394311</v>
      </c>
      <c r="H29" s="37">
        <f>(G29/$G$76)</f>
        <v>9.2397853097822544E-2</v>
      </c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x14ac:dyDescent="0.2">
      <c r="A30" s="146"/>
      <c r="B30" s="147"/>
      <c r="C30" s="146"/>
      <c r="D30" s="120"/>
      <c r="E30" s="120"/>
      <c r="F30" s="148"/>
      <c r="G30" s="120"/>
      <c r="H30" s="149"/>
    </row>
    <row r="31" spans="1:245" x14ac:dyDescent="0.2">
      <c r="A31" s="35" t="s">
        <v>23</v>
      </c>
      <c r="B31" s="130"/>
      <c r="C31" s="124"/>
      <c r="D31" s="145"/>
      <c r="E31" s="145"/>
      <c r="F31" s="138"/>
      <c r="G31" s="38">
        <f>(G33+G40+G46+G56)</f>
        <v>9.6533929292119538</v>
      </c>
      <c r="H31" s="37">
        <f>(G31/$G$76)</f>
        <v>0.71530712321410528</v>
      </c>
    </row>
    <row r="32" spans="1:245" x14ac:dyDescent="0.2">
      <c r="A32" s="146"/>
      <c r="B32" s="147"/>
      <c r="C32" s="146"/>
      <c r="D32" s="120"/>
      <c r="E32" s="120"/>
      <c r="F32" s="148"/>
      <c r="G32" s="148"/>
      <c r="H32" s="149"/>
    </row>
    <row r="33" spans="1:245" s="10" customFormat="1" x14ac:dyDescent="0.2">
      <c r="A33" s="150" t="s">
        <v>24</v>
      </c>
      <c r="B33" s="151"/>
      <c r="C33" s="150"/>
      <c r="D33" s="34"/>
      <c r="E33" s="34"/>
      <c r="F33" s="168"/>
      <c r="G33" s="154">
        <f>(G34+G38)</f>
        <v>1.8959137359421683</v>
      </c>
      <c r="H33" s="155">
        <f>(G33/$G$76)</f>
        <v>0.1404853827316038</v>
      </c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x14ac:dyDescent="0.2">
      <c r="A34" s="169" t="s">
        <v>25</v>
      </c>
      <c r="B34" s="147"/>
      <c r="C34" s="170"/>
      <c r="D34" s="171" t="s">
        <v>26</v>
      </c>
      <c r="E34" s="172">
        <v>10</v>
      </c>
      <c r="F34" s="162">
        <f>H7</f>
        <v>450100</v>
      </c>
      <c r="G34" s="160">
        <f>((H7*(1-E35%))/E34*1)/B3</f>
        <v>1.8704261837091471</v>
      </c>
      <c r="H34" s="161">
        <f>(G34/$G$76)</f>
        <v>0.13859677964673384</v>
      </c>
    </row>
    <row r="35" spans="1:245" x14ac:dyDescent="0.2">
      <c r="A35" s="146"/>
      <c r="B35" s="147"/>
      <c r="C35" s="120"/>
      <c r="D35" s="171" t="s">
        <v>27</v>
      </c>
      <c r="E35" s="172">
        <v>10</v>
      </c>
      <c r="F35" s="148"/>
      <c r="G35" s="148"/>
      <c r="H35" s="149"/>
    </row>
    <row r="36" spans="1:245" x14ac:dyDescent="0.2">
      <c r="A36" s="146"/>
      <c r="B36" s="147"/>
      <c r="C36" s="173"/>
      <c r="D36" s="171" t="s">
        <v>120</v>
      </c>
      <c r="E36" s="174">
        <f>(F34*(1-E35%))/E34</f>
        <v>40509</v>
      </c>
      <c r="F36" s="175"/>
      <c r="G36" s="148"/>
      <c r="H36" s="149"/>
    </row>
    <row r="37" spans="1:245" x14ac:dyDescent="0.2">
      <c r="A37" s="146"/>
      <c r="B37" s="147"/>
      <c r="C37" s="120"/>
      <c r="D37" s="171"/>
      <c r="E37" s="176"/>
      <c r="F37" s="148"/>
      <c r="G37" s="148"/>
      <c r="H37" s="149"/>
    </row>
    <row r="38" spans="1:245" x14ac:dyDescent="0.2">
      <c r="A38" s="169" t="s">
        <v>28</v>
      </c>
      <c r="B38" s="147"/>
      <c r="C38" s="146"/>
      <c r="D38" s="171" t="s">
        <v>29</v>
      </c>
      <c r="E38" s="177">
        <v>0.12</v>
      </c>
      <c r="F38" s="146"/>
      <c r="G38" s="160">
        <f>(H6*E38%)/B3</f>
        <v>2.5487552233021037E-2</v>
      </c>
      <c r="H38" s="161">
        <f>(G38/$G$76)</f>
        <v>1.8886030848699567E-3</v>
      </c>
    </row>
    <row r="39" spans="1:245" x14ac:dyDescent="0.2">
      <c r="A39" s="146"/>
      <c r="B39" s="147"/>
      <c r="C39" s="146"/>
      <c r="D39" s="120"/>
      <c r="E39" s="120"/>
      <c r="F39" s="148"/>
      <c r="G39" s="148"/>
      <c r="H39" s="149"/>
    </row>
    <row r="40" spans="1:245" s="10" customFormat="1" x14ac:dyDescent="0.2">
      <c r="A40" s="150" t="s">
        <v>30</v>
      </c>
      <c r="B40" s="151"/>
      <c r="C40" s="150"/>
      <c r="D40" s="34"/>
      <c r="E40" s="34"/>
      <c r="F40" s="168"/>
      <c r="G40" s="36">
        <f>(G41+G42+G43)</f>
        <v>0.38550681838239081</v>
      </c>
      <c r="H40" s="37">
        <f>(G40/$G$76)</f>
        <v>2.8565684133924674E-2</v>
      </c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</row>
    <row r="41" spans="1:245" x14ac:dyDescent="0.2">
      <c r="A41" s="146" t="s">
        <v>31</v>
      </c>
      <c r="B41" s="147"/>
      <c r="C41" s="146"/>
      <c r="D41" s="171" t="s">
        <v>32</v>
      </c>
      <c r="E41" s="178">
        <v>10</v>
      </c>
      <c r="F41" s="148"/>
      <c r="G41" s="160">
        <f>(F34-(E36*E41))*E44%/B3</f>
        <v>0.24939015782788626</v>
      </c>
      <c r="H41" s="161">
        <f>(G41/$G$76)</f>
        <v>1.8479570619564512E-2</v>
      </c>
    </row>
    <row r="42" spans="1:245" x14ac:dyDescent="0.2">
      <c r="A42" s="146" t="s">
        <v>33</v>
      </c>
      <c r="B42" s="147"/>
      <c r="C42" s="146"/>
      <c r="D42" s="171" t="s">
        <v>29</v>
      </c>
      <c r="E42" s="179">
        <v>4</v>
      </c>
      <c r="F42" s="148"/>
      <c r="G42" s="160">
        <f>((H6*E42%)/B3)*E44%</f>
        <v>0.10195020893208413</v>
      </c>
      <c r="H42" s="161">
        <f>(G42/$G$76)</f>
        <v>7.5544123394798261E-3</v>
      </c>
    </row>
    <row r="43" spans="1:245" x14ac:dyDescent="0.2">
      <c r="A43" s="146" t="s">
        <v>34</v>
      </c>
      <c r="B43" s="147"/>
      <c r="C43" s="146"/>
      <c r="D43" s="171" t="s">
        <v>29</v>
      </c>
      <c r="E43" s="179">
        <v>1.37</v>
      </c>
      <c r="F43" s="148"/>
      <c r="G43" s="160">
        <f>((H7*E43%)/B3)*E44%</f>
        <v>3.4166451622420421E-2</v>
      </c>
      <c r="H43" s="161">
        <f>(G43/$G$76)</f>
        <v>2.531701174880338E-3</v>
      </c>
    </row>
    <row r="44" spans="1:245" x14ac:dyDescent="0.2">
      <c r="A44" s="146"/>
      <c r="B44" s="147"/>
      <c r="C44" s="146"/>
      <c r="D44" s="171" t="s">
        <v>35</v>
      </c>
      <c r="E44" s="180">
        <v>12</v>
      </c>
      <c r="F44" s="148"/>
      <c r="G44" s="148"/>
      <c r="H44" s="149"/>
    </row>
    <row r="45" spans="1:245" x14ac:dyDescent="0.2">
      <c r="A45" s="146"/>
      <c r="B45" s="147"/>
      <c r="C45" s="146"/>
      <c r="D45" s="120"/>
      <c r="E45" s="120"/>
      <c r="F45" s="148"/>
      <c r="G45" s="148"/>
      <c r="H45" s="149"/>
    </row>
    <row r="46" spans="1:245" s="10" customFormat="1" x14ac:dyDescent="0.2">
      <c r="A46" s="150" t="s">
        <v>36</v>
      </c>
      <c r="B46" s="151"/>
      <c r="C46" s="181" t="s">
        <v>37</v>
      </c>
      <c r="D46" s="182" t="s">
        <v>38</v>
      </c>
      <c r="E46" s="183" t="s">
        <v>39</v>
      </c>
      <c r="F46" s="181" t="s">
        <v>40</v>
      </c>
      <c r="G46" s="36">
        <f>SUM(G47:G53)</f>
        <v>5.9822636369799636</v>
      </c>
      <c r="H46" s="37">
        <f t="shared" ref="H46:H54" si="0">(G46/$G$76)</f>
        <v>0.44327997667301144</v>
      </c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</row>
    <row r="47" spans="1:245" x14ac:dyDescent="0.2">
      <c r="A47" s="146" t="s">
        <v>41</v>
      </c>
      <c r="B47" s="147"/>
      <c r="C47" s="184">
        <v>2.2000000000000002</v>
      </c>
      <c r="D47" s="185">
        <v>1.7432000000000001</v>
      </c>
      <c r="E47" s="132">
        <v>74.022000000000006</v>
      </c>
      <c r="F47" s="186">
        <v>1850.55</v>
      </c>
      <c r="G47" s="160">
        <f>((F47+E47)*D47*C47)/($B$3/12)</f>
        <v>4.0895390383247721</v>
      </c>
      <c r="H47" s="161">
        <f t="shared" si="0"/>
        <v>0.303030905944349</v>
      </c>
    </row>
    <row r="48" spans="1:245" x14ac:dyDescent="0.2">
      <c r="A48" s="146" t="s">
        <v>42</v>
      </c>
      <c r="B48" s="147"/>
      <c r="C48" s="184">
        <v>0</v>
      </c>
      <c r="D48" s="185">
        <v>1.7432000000000001</v>
      </c>
      <c r="E48" s="132">
        <v>40.577199999999998</v>
      </c>
      <c r="F48" s="186">
        <v>0</v>
      </c>
      <c r="G48" s="160">
        <f>((F48+E48)*D48*C48)/($B$3/12)</f>
        <v>0</v>
      </c>
      <c r="H48" s="161">
        <f t="shared" si="0"/>
        <v>0</v>
      </c>
    </row>
    <row r="49" spans="1:245" x14ac:dyDescent="0.2">
      <c r="A49" s="146" t="s">
        <v>43</v>
      </c>
      <c r="B49" s="147"/>
      <c r="C49" s="184">
        <v>0.35</v>
      </c>
      <c r="D49" s="185">
        <v>1.7432000000000001</v>
      </c>
      <c r="E49" s="132">
        <v>56.08</v>
      </c>
      <c r="F49" s="186">
        <v>1402</v>
      </c>
      <c r="G49" s="160">
        <f>((F49+E49)*D49*C49)/($B$3/12)</f>
        <v>0.49290918574722625</v>
      </c>
      <c r="H49" s="161">
        <f t="shared" si="0"/>
        <v>3.6524096164750039E-2</v>
      </c>
    </row>
    <row r="50" spans="1:245" x14ac:dyDescent="0.2">
      <c r="A50" s="146" t="s">
        <v>63</v>
      </c>
      <c r="B50" s="147"/>
      <c r="C50" s="187">
        <v>0.57999999999999996</v>
      </c>
      <c r="D50" s="185">
        <v>1.7432000000000001</v>
      </c>
      <c r="E50" s="132">
        <v>46.2</v>
      </c>
      <c r="F50" s="186">
        <v>1155</v>
      </c>
      <c r="G50" s="160">
        <f>((F50+E50)*D50*C50)/($B$3/12)</f>
        <v>0.67291596399443021</v>
      </c>
      <c r="H50" s="161">
        <f t="shared" si="0"/>
        <v>4.9862425149309261E-2</v>
      </c>
      <c r="J50" s="104"/>
    </row>
    <row r="51" spans="1:245" x14ac:dyDescent="0.2">
      <c r="A51" s="146" t="s">
        <v>66</v>
      </c>
      <c r="B51" s="147"/>
      <c r="C51" s="188">
        <f>SUM(C47:C50)</f>
        <v>3.1300000000000003</v>
      </c>
      <c r="D51" s="189">
        <v>12.96</v>
      </c>
      <c r="E51" s="128" t="s">
        <v>44</v>
      </c>
      <c r="F51" s="186"/>
      <c r="G51" s="160">
        <f>D51/(B3/12)</f>
        <v>7.1808408030424493E-3</v>
      </c>
      <c r="H51" s="161">
        <f t="shared" si="0"/>
        <v>5.3209339086770959E-4</v>
      </c>
    </row>
    <row r="52" spans="1:245" x14ac:dyDescent="0.2">
      <c r="A52" s="190" t="s">
        <v>67</v>
      </c>
      <c r="B52" s="147"/>
      <c r="C52" s="120"/>
      <c r="D52" s="191">
        <v>90</v>
      </c>
      <c r="E52" s="128" t="s">
        <v>45</v>
      </c>
      <c r="F52" s="175"/>
      <c r="G52" s="160">
        <f>(C51*D52)/(B3/12)</f>
        <v>0.15608355356613102</v>
      </c>
      <c r="H52" s="161">
        <f t="shared" si="0"/>
        <v>1.156564106538841E-2</v>
      </c>
    </row>
    <row r="53" spans="1:245" x14ac:dyDescent="0.2">
      <c r="A53" s="190" t="s">
        <v>68</v>
      </c>
      <c r="B53" s="147"/>
      <c r="C53" s="120"/>
      <c r="D53" s="191">
        <v>12.5</v>
      </c>
      <c r="E53" s="128" t="s">
        <v>46</v>
      </c>
      <c r="F53" s="186"/>
      <c r="G53" s="160">
        <f>(($C$51*D53*26)/($B$3/12))</f>
        <v>0.56363505454436202</v>
      </c>
      <c r="H53" s="161">
        <f t="shared" si="0"/>
        <v>4.1764814958347038E-2</v>
      </c>
    </row>
    <row r="54" spans="1:245" x14ac:dyDescent="0.2">
      <c r="A54" s="190" t="s">
        <v>64</v>
      </c>
      <c r="B54" s="147"/>
      <c r="C54" s="120"/>
      <c r="D54" s="192"/>
      <c r="E54" s="120"/>
      <c r="F54" s="186">
        <v>0</v>
      </c>
      <c r="G54" s="160">
        <f>(F54*12)/B3</f>
        <v>0</v>
      </c>
      <c r="H54" s="161">
        <f t="shared" si="0"/>
        <v>0</v>
      </c>
    </row>
    <row r="55" spans="1:245" x14ac:dyDescent="0.2">
      <c r="A55" s="146"/>
      <c r="B55" s="147"/>
      <c r="C55" s="128"/>
      <c r="D55" s="193"/>
      <c r="E55" s="120"/>
      <c r="F55" s="175"/>
      <c r="G55" s="148"/>
      <c r="H55" s="161"/>
    </row>
    <row r="56" spans="1:245" s="10" customFormat="1" x14ac:dyDescent="0.2">
      <c r="A56" s="150" t="s">
        <v>47</v>
      </c>
      <c r="B56" s="151"/>
      <c r="C56" s="150"/>
      <c r="D56" s="194"/>
      <c r="E56" s="34"/>
      <c r="F56" s="195"/>
      <c r="G56" s="36">
        <f>(G57+G58+G59+G60+G61+G62+G63+G64)</f>
        <v>1.3897087379074311</v>
      </c>
      <c r="H56" s="37">
        <f>(G56/$G$76)</f>
        <v>0.10297607967556538</v>
      </c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</row>
    <row r="57" spans="1:245" x14ac:dyDescent="0.2">
      <c r="A57" s="146"/>
      <c r="B57" s="147"/>
      <c r="C57" s="120"/>
      <c r="D57" s="196"/>
      <c r="E57" s="120"/>
      <c r="F57" s="197"/>
      <c r="G57" s="160"/>
      <c r="H57" s="161"/>
    </row>
    <row r="58" spans="1:245" x14ac:dyDescent="0.2">
      <c r="A58" s="146" t="s">
        <v>48</v>
      </c>
      <c r="B58" s="147"/>
      <c r="C58" s="146"/>
      <c r="D58" s="198" t="s">
        <v>29</v>
      </c>
      <c r="E58" s="199">
        <v>0.02</v>
      </c>
      <c r="F58" s="162">
        <f>G58*(B3/12)</f>
        <v>750.16666666666663</v>
      </c>
      <c r="G58" s="160">
        <f>(E58*H7)/B3</f>
        <v>0.41565026304647712</v>
      </c>
      <c r="H58" s="161">
        <f t="shared" ref="H58:H64" si="1">(G58/$G$76)</f>
        <v>3.079928436594085E-2</v>
      </c>
      <c r="J58" s="107"/>
    </row>
    <row r="59" spans="1:245" x14ac:dyDescent="0.2">
      <c r="A59" s="146" t="s">
        <v>50</v>
      </c>
      <c r="B59" s="147"/>
      <c r="C59" s="146"/>
      <c r="D59" s="198" t="s">
        <v>29</v>
      </c>
      <c r="E59" s="199">
        <v>0.12</v>
      </c>
      <c r="F59" s="162">
        <f>(0.12*G46)*(B3/12)</f>
        <v>1295.6165807615998</v>
      </c>
      <c r="G59" s="160">
        <f>E59*G46</f>
        <v>0.71787163643759555</v>
      </c>
      <c r="H59" s="161">
        <f t="shared" si="1"/>
        <v>5.3193597200761368E-2</v>
      </c>
      <c r="J59" s="107"/>
    </row>
    <row r="60" spans="1:245" x14ac:dyDescent="0.2">
      <c r="A60" s="146" t="s">
        <v>51</v>
      </c>
      <c r="B60" s="147"/>
      <c r="C60" s="146"/>
      <c r="D60" s="198">
        <v>445.15</v>
      </c>
      <c r="E60" s="120" t="s">
        <v>52</v>
      </c>
      <c r="F60" s="162"/>
      <c r="G60" s="160">
        <f>(D60/B3)</f>
        <v>2.0553956298060352E-2</v>
      </c>
      <c r="H60" s="161">
        <f t="shared" si="1"/>
        <v>1.5230283754164152E-3</v>
      </c>
      <c r="J60" s="60"/>
    </row>
    <row r="61" spans="1:245" x14ac:dyDescent="0.2">
      <c r="A61" s="146" t="s">
        <v>53</v>
      </c>
      <c r="B61" s="147"/>
      <c r="C61" s="146"/>
      <c r="D61" s="200">
        <v>378.25</v>
      </c>
      <c r="E61" s="120" t="s">
        <v>52</v>
      </c>
      <c r="F61" s="175"/>
      <c r="G61" s="160">
        <f>(D61/B3)</f>
        <v>1.7464975782862695E-2</v>
      </c>
      <c r="H61" s="161">
        <f t="shared" si="1"/>
        <v>1.294137892847937E-3</v>
      </c>
      <c r="J61" s="60"/>
    </row>
    <row r="62" spans="1:245" x14ac:dyDescent="0.2">
      <c r="A62" s="146" t="s">
        <v>121</v>
      </c>
      <c r="B62" s="147"/>
      <c r="C62" s="120"/>
      <c r="D62" s="192">
        <f>45/12</f>
        <v>3.75</v>
      </c>
      <c r="E62" s="120" t="s">
        <v>49</v>
      </c>
      <c r="F62" s="162"/>
      <c r="G62" s="160">
        <f>D62/($B$3/12)</f>
        <v>2.0777895842136714E-3</v>
      </c>
      <c r="H62" s="161">
        <f t="shared" si="1"/>
        <v>1.5396220800570299E-4</v>
      </c>
      <c r="I62" s="192"/>
    </row>
    <row r="63" spans="1:245" x14ac:dyDescent="0.2">
      <c r="A63" s="146" t="s">
        <v>69</v>
      </c>
      <c r="B63" s="147"/>
      <c r="C63" s="120"/>
      <c r="D63" s="192">
        <v>390</v>
      </c>
      <c r="E63" s="120" t="s">
        <v>49</v>
      </c>
      <c r="F63" s="162"/>
      <c r="G63" s="160">
        <f>D63/($B$3/12)</f>
        <v>0.21609011675822182</v>
      </c>
      <c r="H63" s="161">
        <f t="shared" ref="H63" si="2">(G63/$G$76)</f>
        <v>1.601206963259311E-2</v>
      </c>
      <c r="I63" s="192"/>
    </row>
    <row r="64" spans="1:245" x14ac:dyDescent="0.2">
      <c r="A64" s="271" t="s">
        <v>122</v>
      </c>
      <c r="B64" s="272"/>
      <c r="C64" s="239"/>
      <c r="D64" s="240">
        <v>0</v>
      </c>
      <c r="E64" s="239" t="s">
        <v>49</v>
      </c>
      <c r="F64" s="162"/>
      <c r="G64" s="160">
        <f>D64/($B$3/12)</f>
        <v>0</v>
      </c>
      <c r="H64" s="161">
        <f t="shared" si="1"/>
        <v>0</v>
      </c>
      <c r="I64" s="200"/>
    </row>
    <row r="65" spans="1:8" x14ac:dyDescent="0.2">
      <c r="A65" s="146"/>
      <c r="B65" s="147"/>
      <c r="C65" s="120"/>
      <c r="D65" s="196"/>
      <c r="E65" s="120"/>
      <c r="F65" s="197"/>
      <c r="G65" s="160"/>
      <c r="H65" s="161"/>
    </row>
    <row r="66" spans="1:8" x14ac:dyDescent="0.2">
      <c r="A66" s="146"/>
      <c r="B66" s="147"/>
      <c r="C66" s="120"/>
      <c r="D66" s="196"/>
      <c r="E66" s="120"/>
      <c r="F66" s="197"/>
      <c r="G66" s="160"/>
      <c r="H66" s="161"/>
    </row>
    <row r="67" spans="1:8" x14ac:dyDescent="0.2">
      <c r="A67" s="35" t="s">
        <v>54</v>
      </c>
      <c r="B67" s="130"/>
      <c r="C67" s="124"/>
      <c r="D67" s="145"/>
      <c r="E67" s="145"/>
      <c r="F67" s="138"/>
      <c r="G67" s="36">
        <f>SUM(G68:G73)</f>
        <v>0.29689994346539628</v>
      </c>
      <c r="H67" s="37">
        <f>(G67/$G$76)</f>
        <v>2.2000000000000013E-2</v>
      </c>
    </row>
    <row r="68" spans="1:8" x14ac:dyDescent="0.2">
      <c r="A68" s="146"/>
      <c r="B68" s="120"/>
      <c r="C68" s="146"/>
      <c r="D68" s="128" t="s">
        <v>55</v>
      </c>
      <c r="E68" s="120"/>
      <c r="F68" s="146"/>
      <c r="G68" s="150"/>
      <c r="H68" s="149"/>
    </row>
    <row r="69" spans="1:8" x14ac:dyDescent="0.2">
      <c r="A69" s="150" t="s">
        <v>56</v>
      </c>
      <c r="B69" s="120"/>
      <c r="C69" s="146"/>
      <c r="D69" s="132">
        <v>0</v>
      </c>
      <c r="E69" s="120"/>
      <c r="F69" s="146"/>
      <c r="G69" s="160"/>
      <c r="H69" s="161"/>
    </row>
    <row r="70" spans="1:8" x14ac:dyDescent="0.2">
      <c r="A70" s="150" t="s">
        <v>92</v>
      </c>
      <c r="B70" s="120"/>
      <c r="C70" s="146"/>
      <c r="D70" s="132">
        <v>0</v>
      </c>
      <c r="E70" s="120"/>
      <c r="F70" s="146"/>
      <c r="G70" s="160"/>
      <c r="H70" s="161"/>
    </row>
    <row r="71" spans="1:8" x14ac:dyDescent="0.2">
      <c r="A71" s="150" t="s">
        <v>93</v>
      </c>
      <c r="B71" s="120"/>
      <c r="C71" s="146"/>
      <c r="D71" s="132">
        <v>0.2</v>
      </c>
      <c r="E71" s="120"/>
      <c r="F71" s="146"/>
      <c r="G71" s="160"/>
      <c r="H71" s="161"/>
    </row>
    <row r="72" spans="1:8" x14ac:dyDescent="0.2">
      <c r="A72" s="201" t="s">
        <v>59</v>
      </c>
      <c r="B72" s="120"/>
      <c r="C72" s="146"/>
      <c r="D72" s="202">
        <v>2</v>
      </c>
      <c r="E72" s="120"/>
      <c r="F72" s="146"/>
      <c r="G72" s="160"/>
      <c r="H72" s="161"/>
    </row>
    <row r="73" spans="1:8" x14ac:dyDescent="0.2">
      <c r="A73" s="203" t="s">
        <v>57</v>
      </c>
      <c r="B73" s="120"/>
      <c r="C73" s="146"/>
      <c r="D73" s="204">
        <f>SUM(D69:D72)</f>
        <v>2.2000000000000002</v>
      </c>
      <c r="E73" s="120"/>
      <c r="F73" s="146"/>
      <c r="G73" s="205">
        <f>(($G$13+$G$31)/((100-D73)/100))-($G$13+$G$31)</f>
        <v>0.29689994346539628</v>
      </c>
      <c r="H73" s="206">
        <f>(G73/$G$76)</f>
        <v>2.2000000000000013E-2</v>
      </c>
    </row>
    <row r="74" spans="1:8" x14ac:dyDescent="0.2">
      <c r="A74" s="207"/>
      <c r="B74" s="208"/>
      <c r="C74" s="207"/>
      <c r="D74" s="208"/>
      <c r="E74" s="208"/>
      <c r="F74" s="207"/>
      <c r="G74" s="209"/>
      <c r="H74" s="144"/>
    </row>
    <row r="75" spans="1:8" x14ac:dyDescent="0.2">
      <c r="A75" s="120"/>
      <c r="B75" s="120"/>
      <c r="C75" s="120"/>
      <c r="D75" s="120"/>
      <c r="E75" s="120"/>
      <c r="F75" s="120"/>
      <c r="G75" s="210"/>
      <c r="H75" s="211"/>
    </row>
    <row r="76" spans="1:8" x14ac:dyDescent="0.2">
      <c r="A76" s="120"/>
      <c r="B76" s="120"/>
      <c r="C76" s="39"/>
      <c r="D76" s="40"/>
      <c r="E76" s="41"/>
      <c r="F76" s="42" t="s">
        <v>94</v>
      </c>
      <c r="G76" s="340">
        <f>G13+G31+G67</f>
        <v>13.495451975699822</v>
      </c>
      <c r="H76" s="43"/>
    </row>
    <row r="77" spans="1:8" x14ac:dyDescent="0.2">
      <c r="A77" s="120"/>
      <c r="B77" s="120"/>
      <c r="C77" s="39"/>
      <c r="D77" s="40"/>
      <c r="E77" s="41"/>
      <c r="F77" s="42" t="s">
        <v>95</v>
      </c>
      <c r="G77" s="341">
        <f>G76*'2.1_Dados_SUI.1'!S11</f>
        <v>267922.8918207775</v>
      </c>
      <c r="H77" s="43"/>
    </row>
    <row r="78" spans="1:8" ht="13.5" thickBot="1" x14ac:dyDescent="0.25">
      <c r="A78" s="120"/>
      <c r="B78" s="120"/>
      <c r="C78" s="120"/>
      <c r="D78" s="344"/>
      <c r="E78" s="345"/>
      <c r="F78" s="346" t="s">
        <v>58</v>
      </c>
      <c r="G78" s="347"/>
      <c r="H78" s="43"/>
    </row>
    <row r="79" spans="1:8" ht="13.5" thickBot="1" x14ac:dyDescent="0.25">
      <c r="A79" s="120"/>
      <c r="B79" s="120"/>
      <c r="C79" s="39"/>
      <c r="D79" s="348"/>
      <c r="E79" s="349"/>
      <c r="F79" s="350" t="s">
        <v>96</v>
      </c>
      <c r="G79" s="351">
        <f>G77/B4</f>
        <v>3.3834747414697302</v>
      </c>
      <c r="H79" s="44"/>
    </row>
    <row r="80" spans="1:8" x14ac:dyDescent="0.2">
      <c r="D80" s="97"/>
      <c r="E80" s="4"/>
      <c r="F80" s="4"/>
      <c r="G80" s="9"/>
      <c r="H80" s="9"/>
    </row>
    <row r="81" spans="2:2" x14ac:dyDescent="0.2">
      <c r="B81" s="10"/>
    </row>
  </sheetData>
  <mergeCells count="3">
    <mergeCell ref="A11:B12"/>
    <mergeCell ref="C11:E12"/>
    <mergeCell ref="A1:M1"/>
  </mergeCells>
  <pageMargins left="0.511811024" right="0.511811024" top="0.78740157499999996" bottom="0.78740157499999996" header="0.31496062000000002" footer="0.31496062000000002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K80"/>
  <sheetViews>
    <sheetView showGridLines="0" zoomScaleNormal="100" zoomScaleSheetLayoutView="110" workbookViewId="0">
      <selection activeCell="N48" sqref="N48"/>
    </sheetView>
  </sheetViews>
  <sheetFormatPr defaultColWidth="9.140625" defaultRowHeight="12.75" x14ac:dyDescent="0.2"/>
  <cols>
    <col min="1" max="1" width="32.85546875" style="48" bestFit="1" customWidth="1"/>
    <col min="2" max="2" width="9.140625" style="48" bestFit="1" customWidth="1"/>
    <col min="3" max="3" width="6.5703125" style="48" bestFit="1" customWidth="1"/>
    <col min="4" max="4" width="24.42578125" style="48" bestFit="1" customWidth="1"/>
    <col min="5" max="5" width="15.42578125" style="48" bestFit="1" customWidth="1"/>
    <col min="6" max="6" width="28.42578125" style="48" bestFit="1" customWidth="1"/>
    <col min="7" max="7" width="11.28515625" style="48" bestFit="1" customWidth="1"/>
    <col min="8" max="8" width="13.140625" style="119" bestFit="1" customWidth="1"/>
    <col min="9" max="9" width="10.28515625" style="48" bestFit="1" customWidth="1"/>
    <col min="10" max="10" width="10.5703125" style="48" customWidth="1"/>
    <col min="11" max="16384" width="9.140625" style="48"/>
  </cols>
  <sheetData>
    <row r="1" spans="1:245" ht="19.5" thickBot="1" x14ac:dyDescent="0.35">
      <c r="A1" s="369" t="s">
        <v>115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1"/>
    </row>
    <row r="2" spans="1:245" x14ac:dyDescent="0.2">
      <c r="A2" s="10"/>
      <c r="H2" s="49"/>
    </row>
    <row r="3" spans="1:245" x14ac:dyDescent="0.2">
      <c r="A3" s="50" t="s">
        <v>0</v>
      </c>
      <c r="B3" s="51">
        <f>12*'2.2_Dados_URBI.1'!S15/'2.2_Dados_URBI.1'!D30</f>
        <v>34317.314474003688</v>
      </c>
      <c r="F3" s="52" t="s">
        <v>116</v>
      </c>
      <c r="G3" s="53"/>
      <c r="H3" s="54"/>
    </row>
    <row r="4" spans="1:245" x14ac:dyDescent="0.2">
      <c r="A4" s="50" t="s">
        <v>97</v>
      </c>
      <c r="B4" s="55">
        <f>B5-0.5*B6*B5</f>
        <v>256949.42</v>
      </c>
      <c r="E4" s="56"/>
      <c r="F4" s="57" t="s">
        <v>90</v>
      </c>
      <c r="G4" s="58"/>
      <c r="H4" s="61">
        <v>281000</v>
      </c>
    </row>
    <row r="5" spans="1:245" x14ac:dyDescent="0.2">
      <c r="A5" s="50" t="s">
        <v>98</v>
      </c>
      <c r="B5" s="55">
        <f>'2.2_Dados_URBI.1'!C29</f>
        <v>282362</v>
      </c>
      <c r="D5" s="56"/>
      <c r="E5" s="59"/>
      <c r="F5" s="57" t="s">
        <v>91</v>
      </c>
      <c r="G5" s="58"/>
      <c r="H5" s="61">
        <v>179000</v>
      </c>
      <c r="I5" s="60"/>
    </row>
    <row r="6" spans="1:245" x14ac:dyDescent="0.2">
      <c r="A6" s="50" t="s">
        <v>100</v>
      </c>
      <c r="B6" s="238">
        <v>0.18</v>
      </c>
      <c r="D6" s="56"/>
      <c r="E6" s="59"/>
      <c r="F6" s="52" t="s">
        <v>1</v>
      </c>
      <c r="G6" s="58"/>
      <c r="H6" s="61">
        <f>H4+H5</f>
        <v>460000</v>
      </c>
    </row>
    <row r="7" spans="1:245" x14ac:dyDescent="0.2">
      <c r="A7" s="50" t="s">
        <v>99</v>
      </c>
      <c r="B7" s="62"/>
      <c r="C7" s="63"/>
      <c r="D7" s="56"/>
      <c r="E7" s="59"/>
      <c r="F7" s="52" t="s">
        <v>2</v>
      </c>
      <c r="G7" s="58"/>
      <c r="H7" s="61">
        <f>H6-(6*F25)</f>
        <v>450100</v>
      </c>
    </row>
    <row r="8" spans="1:245" x14ac:dyDescent="0.2">
      <c r="A8" s="50"/>
      <c r="B8" s="62"/>
      <c r="D8" s="64"/>
      <c r="H8" s="65"/>
    </row>
    <row r="9" spans="1:245" x14ac:dyDescent="0.2">
      <c r="A9" s="50" t="s">
        <v>3</v>
      </c>
      <c r="B9" s="66"/>
      <c r="F9" s="52" t="s">
        <v>65</v>
      </c>
      <c r="G9" s="58"/>
      <c r="H9" s="67">
        <f>D47-1</f>
        <v>0.74320000000000008</v>
      </c>
    </row>
    <row r="10" spans="1:245" x14ac:dyDescent="0.2">
      <c r="C10" s="68"/>
      <c r="E10" s="10"/>
      <c r="H10" s="65"/>
    </row>
    <row r="11" spans="1:245" x14ac:dyDescent="0.2">
      <c r="A11" s="376" t="s">
        <v>4</v>
      </c>
      <c r="B11" s="377"/>
      <c r="C11" s="380" t="s">
        <v>5</v>
      </c>
      <c r="D11" s="381"/>
      <c r="E11" s="381"/>
      <c r="F11" s="69" t="s">
        <v>6</v>
      </c>
      <c r="G11" s="70" t="s">
        <v>7</v>
      </c>
      <c r="H11" s="71" t="s">
        <v>8</v>
      </c>
    </row>
    <row r="12" spans="1:245" x14ac:dyDescent="0.2">
      <c r="A12" s="378"/>
      <c r="B12" s="379"/>
      <c r="C12" s="382"/>
      <c r="D12" s="383"/>
      <c r="E12" s="383"/>
      <c r="F12" s="73" t="s">
        <v>9</v>
      </c>
      <c r="G12" s="74" t="s">
        <v>10</v>
      </c>
      <c r="H12" s="75"/>
    </row>
    <row r="13" spans="1:245" x14ac:dyDescent="0.2">
      <c r="A13" s="1" t="s">
        <v>11</v>
      </c>
      <c r="B13" s="58"/>
      <c r="C13" s="52"/>
      <c r="D13" s="76"/>
      <c r="E13" s="76"/>
      <c r="F13" s="70" t="s">
        <v>12</v>
      </c>
      <c r="G13" s="2">
        <f>(G15+G20+G23+G29)</f>
        <v>3.0851580042633238</v>
      </c>
      <c r="H13" s="3">
        <f>(G13/$G$75)</f>
        <v>0.32877310102755813</v>
      </c>
    </row>
    <row r="14" spans="1:245" x14ac:dyDescent="0.2">
      <c r="A14" s="78"/>
      <c r="B14" s="79"/>
      <c r="C14" s="78"/>
      <c r="F14" s="245"/>
      <c r="G14" s="79"/>
      <c r="H14" s="81"/>
    </row>
    <row r="15" spans="1:245" s="10" customFormat="1" x14ac:dyDescent="0.2">
      <c r="A15" s="82" t="s">
        <v>13</v>
      </c>
      <c r="B15" s="83"/>
      <c r="C15" s="82"/>
      <c r="D15" s="265"/>
      <c r="F15" s="266"/>
      <c r="G15" s="241">
        <f>G16+G18+G17</f>
        <v>2.0539700000000001</v>
      </c>
      <c r="H15" s="85">
        <f>(G15/$G$75)</f>
        <v>0.21888346897773225</v>
      </c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x14ac:dyDescent="0.2">
      <c r="A16" s="78" t="s">
        <v>70</v>
      </c>
      <c r="B16" s="86"/>
      <c r="C16" s="87"/>
      <c r="D16" s="267">
        <v>0.41</v>
      </c>
      <c r="E16" s="48" t="s">
        <v>14</v>
      </c>
      <c r="F16" s="268">
        <v>4.7770000000000001</v>
      </c>
      <c r="G16" s="242">
        <f>(D16*F16)</f>
        <v>1.9585699999999999</v>
      </c>
      <c r="H16" s="89">
        <f>(G16/$G$75)</f>
        <v>0.20871706784213842</v>
      </c>
      <c r="I16" s="90"/>
    </row>
    <row r="17" spans="1:245" x14ac:dyDescent="0.2">
      <c r="A17" s="78" t="s">
        <v>62</v>
      </c>
      <c r="B17" s="86"/>
      <c r="C17" s="82"/>
      <c r="D17" s="265"/>
      <c r="E17" s="48" t="s">
        <v>14</v>
      </c>
      <c r="F17" s="269"/>
      <c r="G17" s="242">
        <f>(F17*D17)</f>
        <v>0</v>
      </c>
      <c r="H17" s="89">
        <f>(G17/$G$75)</f>
        <v>0</v>
      </c>
      <c r="I17" s="90"/>
    </row>
    <row r="18" spans="1:245" x14ac:dyDescent="0.2">
      <c r="A18" s="78" t="s">
        <v>60</v>
      </c>
      <c r="B18" s="86"/>
      <c r="C18" s="87"/>
      <c r="D18" s="267">
        <v>0.03</v>
      </c>
      <c r="E18" s="48" t="s">
        <v>14</v>
      </c>
      <c r="F18" s="270">
        <v>3.18</v>
      </c>
      <c r="G18" s="242">
        <f>F18*D18</f>
        <v>9.5399999999999999E-2</v>
      </c>
      <c r="H18" s="89">
        <f>(G18/$G$75)</f>
        <v>1.0166401135593828E-2</v>
      </c>
      <c r="I18" s="90"/>
    </row>
    <row r="19" spans="1:245" x14ac:dyDescent="0.2">
      <c r="A19" s="78"/>
      <c r="B19" s="79"/>
      <c r="C19" s="78"/>
      <c r="F19" s="246"/>
      <c r="G19" s="79"/>
      <c r="H19" s="81"/>
      <c r="I19" s="90"/>
    </row>
    <row r="20" spans="1:245" s="10" customFormat="1" x14ac:dyDescent="0.2">
      <c r="A20" s="82" t="s">
        <v>15</v>
      </c>
      <c r="B20" s="83"/>
      <c r="C20" s="48"/>
      <c r="D20" s="265"/>
      <c r="F20" s="247"/>
      <c r="G20" s="241">
        <f>G21</f>
        <v>0.11991831388304093</v>
      </c>
      <c r="H20" s="85">
        <f>(G20/$G$75)</f>
        <v>1.2779220989927091E-2</v>
      </c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x14ac:dyDescent="0.2">
      <c r="A21" s="78" t="s">
        <v>119</v>
      </c>
      <c r="B21" s="79"/>
      <c r="C21" s="91"/>
      <c r="D21" s="267">
        <f>0.0265*D16</f>
        <v>1.0865E-2</v>
      </c>
      <c r="E21" s="48" t="s">
        <v>14</v>
      </c>
      <c r="F21" s="270">
        <v>11.037120467836257</v>
      </c>
      <c r="G21" s="242">
        <f>(D21*F21)</f>
        <v>0.11991831388304093</v>
      </c>
      <c r="H21" s="89">
        <f>(G21/$G$75)</f>
        <v>1.2779220989927091E-2</v>
      </c>
      <c r="I21" s="90"/>
    </row>
    <row r="22" spans="1:245" x14ac:dyDescent="0.2">
      <c r="A22" s="78"/>
      <c r="B22" s="79"/>
      <c r="C22" s="78"/>
      <c r="F22" s="246"/>
      <c r="G22" s="79"/>
      <c r="H22" s="81"/>
    </row>
    <row r="23" spans="1:245" s="10" customFormat="1" x14ac:dyDescent="0.2">
      <c r="A23" s="82" t="s">
        <v>16</v>
      </c>
      <c r="B23" s="83"/>
      <c r="C23" s="82"/>
      <c r="F23" s="247"/>
      <c r="G23" s="243">
        <f>(G24+G25)</f>
        <v>0.12432000000000001</v>
      </c>
      <c r="H23" s="3">
        <f>(G23/$G$75)</f>
        <v>1.3248291291163783E-2</v>
      </c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x14ac:dyDescent="0.2">
      <c r="A24" s="78" t="s">
        <v>17</v>
      </c>
      <c r="B24" s="79"/>
      <c r="D24" s="48">
        <v>2</v>
      </c>
      <c r="F24" s="270">
        <v>470</v>
      </c>
      <c r="G24" s="242">
        <f>((D24*6*F24)/D25)</f>
        <v>4.512E-2</v>
      </c>
      <c r="H24" s="89">
        <f>(G24/$G$75)</f>
        <v>4.8082601597273962E-3</v>
      </c>
    </row>
    <row r="25" spans="1:245" x14ac:dyDescent="0.2">
      <c r="A25" s="78" t="s">
        <v>18</v>
      </c>
      <c r="B25" s="79"/>
      <c r="D25" s="93">
        <v>125000</v>
      </c>
      <c r="E25" s="48" t="s">
        <v>19</v>
      </c>
      <c r="F25" s="270">
        <v>1650</v>
      </c>
      <c r="G25" s="242">
        <f>((6*F25)/D25)</f>
        <v>7.9200000000000007E-2</v>
      </c>
      <c r="H25" s="89">
        <f>(G25/$G$75)</f>
        <v>8.4400311314363867E-3</v>
      </c>
    </row>
    <row r="26" spans="1:245" x14ac:dyDescent="0.2">
      <c r="A26" s="78" t="s">
        <v>20</v>
      </c>
      <c r="B26" s="79"/>
      <c r="D26" s="92" t="s">
        <v>117</v>
      </c>
      <c r="F26" s="248" t="s">
        <v>61</v>
      </c>
      <c r="G26" s="244" t="s">
        <v>61</v>
      </c>
      <c r="H26" s="89"/>
    </row>
    <row r="27" spans="1:245" x14ac:dyDescent="0.2">
      <c r="A27" s="78" t="s">
        <v>21</v>
      </c>
      <c r="B27" s="79"/>
      <c r="D27" s="92" t="s">
        <v>117</v>
      </c>
      <c r="F27" s="248" t="s">
        <v>61</v>
      </c>
      <c r="G27" s="244" t="s">
        <v>61</v>
      </c>
      <c r="H27" s="89"/>
    </row>
    <row r="28" spans="1:245" x14ac:dyDescent="0.2">
      <c r="A28" s="78"/>
      <c r="B28" s="79"/>
      <c r="C28" s="78"/>
      <c r="F28" s="246"/>
      <c r="G28" s="79"/>
      <c r="H28" s="81"/>
    </row>
    <row r="29" spans="1:245" s="10" customFormat="1" x14ac:dyDescent="0.2">
      <c r="A29" s="82" t="s">
        <v>22</v>
      </c>
      <c r="B29" s="83"/>
      <c r="C29" s="82"/>
      <c r="D29" s="93"/>
      <c r="E29" s="48"/>
      <c r="F29" s="247"/>
      <c r="G29" s="243">
        <f>0.06*'2.2_Dados_URBI.1'!D30*H7/12/'2.2_Dados_URBI.1'!S15</f>
        <v>0.78694969038028284</v>
      </c>
      <c r="H29" s="3">
        <f>(G29/$G$75)</f>
        <v>8.3862119768735005E-2</v>
      </c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x14ac:dyDescent="0.2">
      <c r="A30" s="78"/>
      <c r="B30" s="79"/>
      <c r="C30" s="78"/>
      <c r="F30" s="249"/>
      <c r="H30" s="81"/>
    </row>
    <row r="31" spans="1:245" x14ac:dyDescent="0.2">
      <c r="A31" s="1" t="s">
        <v>23</v>
      </c>
      <c r="B31" s="58"/>
      <c r="C31" s="52"/>
      <c r="D31" s="76"/>
      <c r="E31" s="76"/>
      <c r="F31" s="74"/>
      <c r="G31" s="16">
        <f>(G33+G40+G46+G56)</f>
        <v>6.0922489026253839</v>
      </c>
      <c r="H31" s="3">
        <f>(G31/$G$75)</f>
        <v>0.6492268989724419</v>
      </c>
    </row>
    <row r="32" spans="1:245" x14ac:dyDescent="0.2">
      <c r="A32" s="78"/>
      <c r="B32" s="79"/>
      <c r="C32" s="78"/>
      <c r="F32" s="80"/>
      <c r="G32" s="80"/>
      <c r="H32" s="81"/>
    </row>
    <row r="33" spans="1:245" s="10" customFormat="1" x14ac:dyDescent="0.2">
      <c r="A33" s="82" t="s">
        <v>24</v>
      </c>
      <c r="B33" s="83"/>
      <c r="C33" s="82"/>
      <c r="F33" s="94"/>
      <c r="G33" s="84">
        <f>(G34+G38)</f>
        <v>1.1965097103127005</v>
      </c>
      <c r="H33" s="85">
        <f>(G33/$G$75)</f>
        <v>0.12750731318314551</v>
      </c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x14ac:dyDescent="0.2">
      <c r="A34" s="95" t="s">
        <v>25</v>
      </c>
      <c r="B34" s="79"/>
      <c r="C34" s="96"/>
      <c r="D34" s="97" t="s">
        <v>26</v>
      </c>
      <c r="E34" s="261">
        <v>10</v>
      </c>
      <c r="F34" s="98">
        <f>H7</f>
        <v>450100</v>
      </c>
      <c r="G34" s="88">
        <f>((H7*(1-E35%))/E34*1)/B3</f>
        <v>1.1804245355704241</v>
      </c>
      <c r="H34" s="89">
        <f>(G34/$G$75)</f>
        <v>0.12579317965310249</v>
      </c>
    </row>
    <row r="35" spans="1:245" x14ac:dyDescent="0.2">
      <c r="A35" s="78"/>
      <c r="B35" s="79"/>
      <c r="D35" s="97" t="s">
        <v>27</v>
      </c>
      <c r="E35" s="261">
        <v>10</v>
      </c>
      <c r="F35" s="99"/>
      <c r="G35" s="99"/>
      <c r="H35" s="81"/>
    </row>
    <row r="36" spans="1:245" x14ac:dyDescent="0.2">
      <c r="A36" s="78"/>
      <c r="B36" s="79"/>
      <c r="C36" s="100"/>
      <c r="D36" s="97" t="s">
        <v>120</v>
      </c>
      <c r="E36" s="262">
        <f>(F34*(1-E35%))/E34</f>
        <v>40509</v>
      </c>
      <c r="F36" s="99"/>
      <c r="G36" s="80"/>
      <c r="H36" s="81"/>
    </row>
    <row r="37" spans="1:245" x14ac:dyDescent="0.2">
      <c r="A37" s="78"/>
      <c r="B37" s="79"/>
      <c r="D37" s="97"/>
      <c r="E37" s="263"/>
      <c r="F37" s="80"/>
      <c r="G37" s="80"/>
      <c r="H37" s="81"/>
    </row>
    <row r="38" spans="1:245" x14ac:dyDescent="0.2">
      <c r="A38" s="95" t="s">
        <v>28</v>
      </c>
      <c r="B38" s="79"/>
      <c r="C38" s="78"/>
      <c r="D38" s="97" t="s">
        <v>29</v>
      </c>
      <c r="E38" s="264">
        <v>0.12</v>
      </c>
      <c r="F38" s="78"/>
      <c r="G38" s="88">
        <f>(H6*E38%)/B3</f>
        <v>1.6085174742276387E-2</v>
      </c>
      <c r="H38" s="89">
        <f>(G38/$G$75)</f>
        <v>1.7141335300430171E-3</v>
      </c>
    </row>
    <row r="39" spans="1:245" x14ac:dyDescent="0.2">
      <c r="A39" s="78"/>
      <c r="B39" s="79"/>
      <c r="C39" s="78"/>
      <c r="F39" s="80"/>
      <c r="G39" s="80"/>
      <c r="H39" s="81"/>
    </row>
    <row r="40" spans="1:245" s="10" customFormat="1" x14ac:dyDescent="0.2">
      <c r="A40" s="82" t="s">
        <v>30</v>
      </c>
      <c r="B40" s="83"/>
      <c r="C40" s="82"/>
      <c r="F40" s="94"/>
      <c r="G40" s="2">
        <f>(G41+G42+G43)</f>
        <v>0.24329305856158184</v>
      </c>
      <c r="H40" s="3">
        <f>(G40/$G$75)</f>
        <v>2.5926780155582405E-2</v>
      </c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</row>
    <row r="41" spans="1:245" x14ac:dyDescent="0.2">
      <c r="A41" s="78" t="s">
        <v>31</v>
      </c>
      <c r="B41" s="79"/>
      <c r="C41" s="78"/>
      <c r="D41" s="97" t="s">
        <v>32</v>
      </c>
      <c r="E41" s="258">
        <v>10</v>
      </c>
      <c r="F41" s="80"/>
      <c r="G41" s="88">
        <f>(F34-(E36*E41))*E44%/B3</f>
        <v>0.15738993807605656</v>
      </c>
      <c r="H41" s="89">
        <f>(G41/$G$75)</f>
        <v>1.6772423953747E-2</v>
      </c>
    </row>
    <row r="42" spans="1:245" x14ac:dyDescent="0.2">
      <c r="A42" s="78" t="s">
        <v>33</v>
      </c>
      <c r="B42" s="79"/>
      <c r="C42" s="78"/>
      <c r="D42" s="97" t="s">
        <v>29</v>
      </c>
      <c r="E42" s="259">
        <v>4</v>
      </c>
      <c r="F42" s="80"/>
      <c r="G42" s="88">
        <f>((H6*E42%)/B3)*E44%</f>
        <v>6.4340698969105548E-2</v>
      </c>
      <c r="H42" s="89">
        <f>(G42/$G$75)</f>
        <v>6.8565341201720685E-3</v>
      </c>
    </row>
    <row r="43" spans="1:245" x14ac:dyDescent="0.2">
      <c r="A43" s="78" t="s">
        <v>34</v>
      </c>
      <c r="B43" s="79"/>
      <c r="C43" s="78"/>
      <c r="D43" s="97" t="s">
        <v>29</v>
      </c>
      <c r="E43" s="259">
        <v>1.37</v>
      </c>
      <c r="F43" s="80"/>
      <c r="G43" s="88">
        <f>((H7*E43%)/B3)*E44%</f>
        <v>2.1562421516419749E-2</v>
      </c>
      <c r="H43" s="89">
        <f>(G43/$G$75)</f>
        <v>2.297822081663339E-3</v>
      </c>
    </row>
    <row r="44" spans="1:245" x14ac:dyDescent="0.2">
      <c r="A44" s="78"/>
      <c r="B44" s="79"/>
      <c r="C44" s="78"/>
      <c r="D44" s="97" t="s">
        <v>35</v>
      </c>
      <c r="E44" s="260">
        <v>12</v>
      </c>
      <c r="F44" s="80"/>
      <c r="G44" s="80"/>
      <c r="H44" s="81"/>
    </row>
    <row r="45" spans="1:245" x14ac:dyDescent="0.2">
      <c r="A45" s="78"/>
      <c r="B45" s="79"/>
      <c r="C45" s="78"/>
      <c r="F45" s="80"/>
      <c r="G45" s="80"/>
      <c r="H45" s="81"/>
    </row>
    <row r="46" spans="1:245" s="10" customFormat="1" x14ac:dyDescent="0.2">
      <c r="A46" s="82" t="s">
        <v>36</v>
      </c>
      <c r="B46" s="83"/>
      <c r="C46" s="101" t="s">
        <v>37</v>
      </c>
      <c r="D46" s="102" t="s">
        <v>38</v>
      </c>
      <c r="E46" s="103" t="s">
        <v>39</v>
      </c>
      <c r="F46" s="101" t="s">
        <v>40</v>
      </c>
      <c r="G46" s="2">
        <f>SUM(G47:G53)</f>
        <v>3.7754020109675692</v>
      </c>
      <c r="H46" s="3">
        <f t="shared" ref="H46:H54" si="0">(G46/$G$75)</f>
        <v>0.4023296781092654</v>
      </c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</row>
    <row r="47" spans="1:245" x14ac:dyDescent="0.2">
      <c r="A47" s="78" t="s">
        <v>41</v>
      </c>
      <c r="B47" s="79"/>
      <c r="C47" s="254">
        <v>2.2000000000000002</v>
      </c>
      <c r="D47" s="255">
        <v>1.7432000000000001</v>
      </c>
      <c r="E47" s="59">
        <v>74.022000000000006</v>
      </c>
      <c r="F47" s="105">
        <v>1850.55</v>
      </c>
      <c r="G47" s="88">
        <f>((F47+E47)*D47*C47)/($B$3/12)</f>
        <v>2.5809049627602421</v>
      </c>
      <c r="H47" s="89">
        <f t="shared" si="0"/>
        <v>0.27503684637594833</v>
      </c>
    </row>
    <row r="48" spans="1:245" x14ac:dyDescent="0.2">
      <c r="A48" s="78" t="s">
        <v>42</v>
      </c>
      <c r="B48" s="79"/>
      <c r="C48" s="254">
        <v>0</v>
      </c>
      <c r="D48" s="255">
        <v>1.7432000000000001</v>
      </c>
      <c r="E48" s="59">
        <v>40.577199999999998</v>
      </c>
      <c r="F48" s="105">
        <v>0</v>
      </c>
      <c r="G48" s="88">
        <f>((F48+E48)*D48*C48)/($B$3/12)</f>
        <v>0</v>
      </c>
      <c r="H48" s="89">
        <f t="shared" si="0"/>
        <v>0</v>
      </c>
    </row>
    <row r="49" spans="1:245" x14ac:dyDescent="0.2">
      <c r="A49" s="78" t="s">
        <v>43</v>
      </c>
      <c r="B49" s="79"/>
      <c r="C49" s="254">
        <v>0.35</v>
      </c>
      <c r="D49" s="255">
        <v>1.7432000000000001</v>
      </c>
      <c r="E49" s="59">
        <v>56.08</v>
      </c>
      <c r="F49" s="105">
        <v>1402</v>
      </c>
      <c r="G49" s="88">
        <f>((F49+E49)*D49*C49)/($B$3/12)</f>
        <v>0.31107461055225605</v>
      </c>
      <c r="H49" s="89">
        <f t="shared" si="0"/>
        <v>3.314999238965266E-2</v>
      </c>
    </row>
    <row r="50" spans="1:245" x14ac:dyDescent="0.2">
      <c r="A50" s="78" t="s">
        <v>63</v>
      </c>
      <c r="B50" s="79"/>
      <c r="C50" s="256">
        <v>0.57999999999999996</v>
      </c>
      <c r="D50" s="255">
        <v>1.7432000000000001</v>
      </c>
      <c r="E50" s="59">
        <v>46.2</v>
      </c>
      <c r="F50" s="105">
        <v>1155</v>
      </c>
      <c r="G50" s="88">
        <f>((F50+E50)*D50*C50)/($B$3/12)</f>
        <v>0.42467675078246664</v>
      </c>
      <c r="H50" s="89">
        <f t="shared" si="0"/>
        <v>4.5256123704561488E-2</v>
      </c>
      <c r="J50" s="104"/>
    </row>
    <row r="51" spans="1:245" x14ac:dyDescent="0.2">
      <c r="A51" s="78" t="s">
        <v>66</v>
      </c>
      <c r="B51" s="79"/>
      <c r="C51" s="257">
        <f>SUM(C47:C50)</f>
        <v>3.1300000000000003</v>
      </c>
      <c r="D51" s="253">
        <v>12.96</v>
      </c>
      <c r="E51" s="48" t="s">
        <v>44</v>
      </c>
      <c r="F51" s="105"/>
      <c r="G51" s="88">
        <f>D51/(B3/12)</f>
        <v>4.5318231447804775E-3</v>
      </c>
      <c r="H51" s="89">
        <f t="shared" si="0"/>
        <v>4.8293849020342394E-4</v>
      </c>
    </row>
    <row r="52" spans="1:245" x14ac:dyDescent="0.2">
      <c r="A52" s="106" t="s">
        <v>67</v>
      </c>
      <c r="B52" s="79"/>
      <c r="D52" s="107">
        <v>90</v>
      </c>
      <c r="E52" s="48" t="s">
        <v>45</v>
      </c>
      <c r="F52" s="105"/>
      <c r="G52" s="88">
        <f>(C51*D52)/(B3/12)</f>
        <v>9.8504211410853457E-2</v>
      </c>
      <c r="H52" s="89">
        <f t="shared" si="0"/>
        <v>1.0497204682893869E-2</v>
      </c>
    </row>
    <row r="53" spans="1:245" x14ac:dyDescent="0.2">
      <c r="A53" s="106" t="s">
        <v>68</v>
      </c>
      <c r="B53" s="79"/>
      <c r="D53" s="107">
        <v>12.5</v>
      </c>
      <c r="E53" s="48" t="s">
        <v>46</v>
      </c>
      <c r="F53" s="105"/>
      <c r="G53" s="88">
        <f>(($C$51*D53*26)/($B$3/12))</f>
        <v>0.35570965231697083</v>
      </c>
      <c r="H53" s="89">
        <f t="shared" si="0"/>
        <v>3.7906572466005643E-2</v>
      </c>
    </row>
    <row r="54" spans="1:245" x14ac:dyDescent="0.2">
      <c r="A54" s="106" t="s">
        <v>64</v>
      </c>
      <c r="B54" s="79"/>
      <c r="D54" s="107"/>
      <c r="F54" s="105">
        <v>0</v>
      </c>
      <c r="G54" s="88">
        <f>(F54*12)/B3</f>
        <v>0</v>
      </c>
      <c r="H54" s="89">
        <f t="shared" si="0"/>
        <v>0</v>
      </c>
    </row>
    <row r="55" spans="1:245" x14ac:dyDescent="0.2">
      <c r="A55" s="78"/>
      <c r="B55" s="79"/>
      <c r="C55" s="56"/>
      <c r="D55" s="108"/>
      <c r="F55" s="99"/>
      <c r="G55" s="80"/>
      <c r="H55" s="89"/>
    </row>
    <row r="56" spans="1:245" s="10" customFormat="1" x14ac:dyDescent="0.2">
      <c r="A56" s="82" t="s">
        <v>47</v>
      </c>
      <c r="B56" s="83"/>
      <c r="C56" s="82"/>
      <c r="D56" s="12"/>
      <c r="F56" s="109"/>
      <c r="G56" s="2">
        <f>(G57+G58+G59+G60+G61+G62+G63+G64)</f>
        <v>0.87704412278353261</v>
      </c>
      <c r="H56" s="3">
        <f>(G56/$G$75)</f>
        <v>9.346312752444863E-2</v>
      </c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</row>
    <row r="57" spans="1:245" x14ac:dyDescent="0.2">
      <c r="A57" s="78"/>
      <c r="B57" s="79"/>
      <c r="D57" s="14"/>
      <c r="F57" s="98"/>
      <c r="G57" s="88"/>
      <c r="H57" s="89"/>
    </row>
    <row r="58" spans="1:245" x14ac:dyDescent="0.2">
      <c r="A58" s="78" t="s">
        <v>48</v>
      </c>
      <c r="B58" s="79"/>
      <c r="C58" s="78"/>
      <c r="D58" s="251" t="s">
        <v>29</v>
      </c>
      <c r="E58" s="252">
        <v>0.02</v>
      </c>
      <c r="F58" s="98">
        <f>G58*(B3/12)</f>
        <v>750.16666666666663</v>
      </c>
      <c r="G58" s="88">
        <f>(E58*H7)/B3</f>
        <v>0.26231656346009424</v>
      </c>
      <c r="H58" s="89">
        <f t="shared" ref="H58:H63" si="1">(G58/$G$75)</f>
        <v>2.7954039922911664E-2</v>
      </c>
      <c r="J58" s="107"/>
    </row>
    <row r="59" spans="1:245" x14ac:dyDescent="0.2">
      <c r="A59" s="78" t="s">
        <v>50</v>
      </c>
      <c r="B59" s="79"/>
      <c r="C59" s="78"/>
      <c r="D59" s="251" t="s">
        <v>29</v>
      </c>
      <c r="E59" s="252">
        <v>0.12</v>
      </c>
      <c r="F59" s="98">
        <f>(0.12*G46)*(B3/12)</f>
        <v>1295.6165807615998</v>
      </c>
      <c r="G59" s="88">
        <f>E59*G46</f>
        <v>0.45304824131610827</v>
      </c>
      <c r="H59" s="89">
        <f t="shared" si="1"/>
        <v>4.8279561373111846E-2</v>
      </c>
      <c r="J59" s="107"/>
    </row>
    <row r="60" spans="1:245" x14ac:dyDescent="0.2">
      <c r="A60" s="78" t="s">
        <v>51</v>
      </c>
      <c r="B60" s="79"/>
      <c r="C60" s="78"/>
      <c r="D60" s="251">
        <v>445.15</v>
      </c>
      <c r="E60" s="48" t="s">
        <v>52</v>
      </c>
      <c r="F60" s="98"/>
      <c r="G60" s="88">
        <f>(D60/B3)</f>
        <v>1.2971586116891908E-2</v>
      </c>
      <c r="H60" s="89">
        <f t="shared" si="1"/>
        <v>1.3823306900337844E-3</v>
      </c>
      <c r="J60" s="60"/>
    </row>
    <row r="61" spans="1:245" x14ac:dyDescent="0.2">
      <c r="A61" s="78" t="s">
        <v>53</v>
      </c>
      <c r="B61" s="79"/>
      <c r="C61" s="78"/>
      <c r="D61" s="253">
        <v>378.25</v>
      </c>
      <c r="E61" s="48" t="s">
        <v>52</v>
      </c>
      <c r="F61" s="98"/>
      <c r="G61" s="88">
        <f>(D61/B3)</f>
        <v>1.1022132873670369E-2</v>
      </c>
      <c r="H61" s="89">
        <f t="shared" si="1"/>
        <v>1.1745851589470494E-3</v>
      </c>
      <c r="J61" s="60"/>
    </row>
    <row r="62" spans="1:245" x14ac:dyDescent="0.2">
      <c r="A62" s="78" t="s">
        <v>121</v>
      </c>
      <c r="B62" s="79"/>
      <c r="D62" s="107">
        <f>45/12</f>
        <v>3.75</v>
      </c>
      <c r="E62" s="48" t="s">
        <v>49</v>
      </c>
      <c r="F62" s="98"/>
      <c r="G62" s="88">
        <f>D62/($B$3/12)</f>
        <v>1.3112914192073141E-3</v>
      </c>
      <c r="H62" s="89">
        <f t="shared" si="1"/>
        <v>1.3973914647089813E-4</v>
      </c>
    </row>
    <row r="63" spans="1:245" x14ac:dyDescent="0.2">
      <c r="A63" s="78" t="s">
        <v>69</v>
      </c>
      <c r="B63" s="79"/>
      <c r="D63" s="107">
        <v>390</v>
      </c>
      <c r="E63" s="48" t="s">
        <v>49</v>
      </c>
      <c r="F63" s="98"/>
      <c r="G63" s="88">
        <f>D63/($B$3/12)</f>
        <v>0.13637430759756067</v>
      </c>
      <c r="H63" s="89">
        <f t="shared" si="1"/>
        <v>1.4532871232973405E-2</v>
      </c>
    </row>
    <row r="64" spans="1:245" x14ac:dyDescent="0.2">
      <c r="A64" s="78"/>
      <c r="B64" s="79"/>
      <c r="D64" s="14"/>
      <c r="F64" s="110"/>
      <c r="G64" s="88"/>
      <c r="H64" s="89"/>
    </row>
    <row r="65" spans="1:8" x14ac:dyDescent="0.2">
      <c r="A65" s="78"/>
      <c r="B65" s="79"/>
      <c r="D65" s="14"/>
      <c r="F65" s="110"/>
      <c r="G65" s="88"/>
      <c r="H65" s="89"/>
    </row>
    <row r="66" spans="1:8" x14ac:dyDescent="0.2">
      <c r="A66" s="1" t="s">
        <v>54</v>
      </c>
      <c r="B66" s="58"/>
      <c r="C66" s="52"/>
      <c r="D66" s="76"/>
      <c r="E66" s="76"/>
      <c r="F66" s="77"/>
      <c r="G66" s="2">
        <f>SUM(G67:G72)</f>
        <v>0.20644473614678027</v>
      </c>
      <c r="H66" s="3">
        <f>(G66/$G$75)</f>
        <v>2.199999999999995E-2</v>
      </c>
    </row>
    <row r="67" spans="1:8" x14ac:dyDescent="0.2">
      <c r="A67" s="78"/>
      <c r="C67" s="78"/>
      <c r="D67" s="56" t="s">
        <v>55</v>
      </c>
      <c r="F67" s="78"/>
      <c r="G67" s="82"/>
      <c r="H67" s="81"/>
    </row>
    <row r="68" spans="1:8" x14ac:dyDescent="0.2">
      <c r="A68" s="82" t="s">
        <v>56</v>
      </c>
      <c r="C68" s="78"/>
      <c r="D68" s="59">
        <v>0</v>
      </c>
      <c r="F68" s="78"/>
      <c r="G68" s="88"/>
      <c r="H68" s="89"/>
    </row>
    <row r="69" spans="1:8" x14ac:dyDescent="0.2">
      <c r="A69" s="82" t="s">
        <v>92</v>
      </c>
      <c r="C69" s="78"/>
      <c r="D69" s="59">
        <v>0</v>
      </c>
      <c r="F69" s="78"/>
      <c r="G69" s="88"/>
      <c r="H69" s="89"/>
    </row>
    <row r="70" spans="1:8" x14ac:dyDescent="0.2">
      <c r="A70" s="82" t="s">
        <v>93</v>
      </c>
      <c r="C70" s="78"/>
      <c r="D70" s="59">
        <v>0.2</v>
      </c>
      <c r="F70" s="78"/>
      <c r="G70" s="88"/>
      <c r="H70" s="89"/>
    </row>
    <row r="71" spans="1:8" x14ac:dyDescent="0.2">
      <c r="A71" s="111" t="s">
        <v>59</v>
      </c>
      <c r="C71" s="78"/>
      <c r="D71" s="250">
        <v>2</v>
      </c>
      <c r="F71" s="78"/>
      <c r="G71" s="88"/>
      <c r="H71" s="89"/>
    </row>
    <row r="72" spans="1:8" x14ac:dyDescent="0.2">
      <c r="A72" s="112" t="s">
        <v>57</v>
      </c>
      <c r="C72" s="78"/>
      <c r="D72" s="113">
        <f>SUM(D68:D71)</f>
        <v>2.2000000000000002</v>
      </c>
      <c r="F72" s="78"/>
      <c r="G72" s="114">
        <f>(($G$13+$G$31)/((100-D72)/100))-($G$13+$G$31)</f>
        <v>0.20644473614678027</v>
      </c>
      <c r="H72" s="115">
        <f>(G72/$G$75)</f>
        <v>2.199999999999995E-2</v>
      </c>
    </row>
    <row r="73" spans="1:8" x14ac:dyDescent="0.2">
      <c r="A73" s="72"/>
      <c r="B73" s="116"/>
      <c r="C73" s="72"/>
      <c r="D73" s="116"/>
      <c r="E73" s="116"/>
      <c r="F73" s="72"/>
      <c r="G73" s="117"/>
      <c r="H73" s="75"/>
    </row>
    <row r="74" spans="1:8" x14ac:dyDescent="0.2">
      <c r="G74" s="118"/>
    </row>
    <row r="75" spans="1:8" x14ac:dyDescent="0.2">
      <c r="C75" s="4"/>
      <c r="D75" s="5"/>
      <c r="E75" s="6"/>
      <c r="F75" s="7" t="s">
        <v>94</v>
      </c>
      <c r="G75" s="8">
        <f>G13+G31+G66</f>
        <v>9.3838516430354879</v>
      </c>
      <c r="H75" s="9"/>
    </row>
    <row r="76" spans="1:8" x14ac:dyDescent="0.2">
      <c r="C76" s="4"/>
      <c r="D76" s="5"/>
      <c r="E76" s="6"/>
      <c r="F76" s="7" t="s">
        <v>95</v>
      </c>
      <c r="G76" s="11">
        <f>G75*'2.2_Dados_URBI.1'!S15</f>
        <v>885578.61648147379</v>
      </c>
      <c r="H76" s="9"/>
    </row>
    <row r="77" spans="1:8" ht="13.5" thickBot="1" x14ac:dyDescent="0.25">
      <c r="D77" s="352"/>
      <c r="E77" s="353"/>
      <c r="F77" s="354" t="s">
        <v>58</v>
      </c>
      <c r="G77" s="355"/>
      <c r="H77" s="9"/>
    </row>
    <row r="78" spans="1:8" ht="13.5" thickBot="1" x14ac:dyDescent="0.25">
      <c r="C78" s="4"/>
      <c r="D78" s="348"/>
      <c r="E78" s="349"/>
      <c r="F78" s="350" t="s">
        <v>96</v>
      </c>
      <c r="G78" s="356">
        <f>G76/B4</f>
        <v>3.4465094977893851</v>
      </c>
      <c r="H78" s="19"/>
    </row>
    <row r="79" spans="1:8" x14ac:dyDescent="0.2">
      <c r="D79" s="97"/>
      <c r="E79" s="4"/>
      <c r="F79" s="4"/>
      <c r="G79" s="9"/>
      <c r="H79" s="9"/>
    </row>
    <row r="80" spans="1:8" x14ac:dyDescent="0.2">
      <c r="B80" s="10"/>
    </row>
  </sheetData>
  <mergeCells count="3">
    <mergeCell ref="A11:B12"/>
    <mergeCell ref="C11:E12"/>
    <mergeCell ref="A1:M1"/>
  </mergeCells>
  <pageMargins left="0.511811024" right="0.511811024" top="0.78740157499999996" bottom="0.78740157499999996" header="0.31496062000000002" footer="0.31496062000000002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"/>
  <sheetViews>
    <sheetView showGridLines="0" workbookViewId="0">
      <selection activeCell="B2" sqref="B2"/>
    </sheetView>
  </sheetViews>
  <sheetFormatPr defaultRowHeight="15" x14ac:dyDescent="0.25"/>
  <cols>
    <col min="1" max="1" width="28.85546875" bestFit="1" customWidth="1"/>
    <col min="2" max="2" width="8.5703125" bestFit="1" customWidth="1"/>
    <col min="3" max="3" width="2.140625" customWidth="1"/>
    <col min="4" max="4" width="15.85546875" bestFit="1" customWidth="1"/>
    <col min="5" max="5" width="2.140625" customWidth="1"/>
    <col min="6" max="6" width="12.28515625" bestFit="1" customWidth="1"/>
    <col min="7" max="7" width="18.28515625" bestFit="1" customWidth="1"/>
    <col min="8" max="8" width="2.7109375" customWidth="1"/>
    <col min="9" max="9" width="12.140625" bestFit="1" customWidth="1"/>
    <col min="10" max="10" width="9" bestFit="1" customWidth="1"/>
    <col min="11" max="11" width="2.42578125" customWidth="1"/>
    <col min="12" max="12" width="11.140625" bestFit="1" customWidth="1"/>
    <col min="13" max="13" width="9" bestFit="1" customWidth="1"/>
    <col min="14" max="14" width="2.140625" customWidth="1"/>
    <col min="15" max="15" width="11.5703125" customWidth="1"/>
    <col min="16" max="16" width="16.5703125" customWidth="1"/>
    <col min="17" max="17" width="15.85546875" bestFit="1" customWidth="1"/>
  </cols>
  <sheetData>
    <row r="1" spans="1:17" x14ac:dyDescent="0.25">
      <c r="A1" s="384" t="s">
        <v>134</v>
      </c>
      <c r="B1" s="385"/>
      <c r="C1" s="215"/>
      <c r="D1" s="216" t="s">
        <v>132</v>
      </c>
      <c r="E1" s="215"/>
      <c r="F1" s="213" t="s">
        <v>136</v>
      </c>
      <c r="G1" s="214" t="s">
        <v>133</v>
      </c>
      <c r="H1" s="217"/>
      <c r="I1" s="384" t="s">
        <v>139</v>
      </c>
      <c r="J1" s="385"/>
      <c r="K1" s="217"/>
      <c r="L1" s="384" t="s">
        <v>140</v>
      </c>
      <c r="M1" s="385"/>
      <c r="N1" s="215"/>
      <c r="O1" s="213" t="s">
        <v>142</v>
      </c>
      <c r="P1" s="218" t="s">
        <v>141</v>
      </c>
      <c r="Q1" s="214" t="s">
        <v>132</v>
      </c>
    </row>
    <row r="2" spans="1:17" x14ac:dyDescent="0.25">
      <c r="A2" s="28" t="s">
        <v>123</v>
      </c>
      <c r="B2" s="29">
        <f>'3.2_Tarifa_URBI.1.10'!G78</f>
        <v>3.4465094977893851</v>
      </c>
      <c r="D2" s="24">
        <f>$B2*G2</f>
        <v>973163.31481480633</v>
      </c>
      <c r="F2" s="20" t="s">
        <v>137</v>
      </c>
      <c r="G2" s="21">
        <f>'3.2_Tarifa_URBI.1.10'!B5</f>
        <v>282362</v>
      </c>
      <c r="H2" s="27"/>
      <c r="I2" s="20" t="s">
        <v>125</v>
      </c>
      <c r="J2" s="32">
        <f>J4/2</f>
        <v>57253.788001042711</v>
      </c>
      <c r="L2" s="20" t="s">
        <v>127</v>
      </c>
      <c r="M2" s="32">
        <f>G2-J2</f>
        <v>225108.2119989573</v>
      </c>
      <c r="O2" s="26" t="s">
        <v>143</v>
      </c>
      <c r="P2" s="236">
        <f>D4/(M4+J2*0.75+J3*0.75)</f>
        <v>3.7199565922752531</v>
      </c>
      <c r="Q2" s="25">
        <f>(J3+M4)*P2</f>
        <v>1161093.2720038148</v>
      </c>
    </row>
    <row r="3" spans="1:17" ht="15.75" thickBot="1" x14ac:dyDescent="0.3">
      <c r="A3" s="30" t="s">
        <v>124</v>
      </c>
      <c r="B3" s="31">
        <f>'3.1_Tarifa_SUI.1.10'!G79</f>
        <v>3.3834747414697302</v>
      </c>
      <c r="D3" s="24">
        <f>$B3*G3</f>
        <v>294420.76024261263</v>
      </c>
      <c r="F3" s="20" t="s">
        <v>138</v>
      </c>
      <c r="G3" s="21">
        <f>'3.1_Tarifa_SUI.1.10'!B5</f>
        <v>87017.277426082015</v>
      </c>
      <c r="H3" s="27"/>
      <c r="I3" s="20" t="s">
        <v>125</v>
      </c>
      <c r="J3" s="32">
        <f>J4/2</f>
        <v>57253.788001042711</v>
      </c>
      <c r="L3" s="20" t="s">
        <v>127</v>
      </c>
      <c r="M3" s="32">
        <f>G3-J3</f>
        <v>29763.489425039304</v>
      </c>
      <c r="O3" s="26" t="s">
        <v>144</v>
      </c>
      <c r="P3" s="236">
        <f>P2/2</f>
        <v>1.8599782961376266</v>
      </c>
      <c r="Q3" s="25">
        <f>J3*P3</f>
        <v>106490.80305360431</v>
      </c>
    </row>
    <row r="4" spans="1:17" ht="15.75" thickBot="1" x14ac:dyDescent="0.3">
      <c r="D4" s="235">
        <f>D2+D3</f>
        <v>1267584.075057419</v>
      </c>
      <c r="F4" s="22" t="s">
        <v>57</v>
      </c>
      <c r="G4" s="23">
        <f>G2+G3</f>
        <v>369379.277426082</v>
      </c>
      <c r="H4" s="27"/>
      <c r="I4" s="22" t="s">
        <v>126</v>
      </c>
      <c r="J4" s="33">
        <f>B7*G4</f>
        <v>114507.57600208542</v>
      </c>
      <c r="L4" s="22" t="s">
        <v>128</v>
      </c>
      <c r="M4" s="33">
        <f>M2+M3</f>
        <v>254871.70142399659</v>
      </c>
      <c r="O4" s="357" t="s">
        <v>57</v>
      </c>
      <c r="P4" s="237">
        <f>P2+P3</f>
        <v>5.5799348884128799</v>
      </c>
      <c r="Q4" s="31">
        <f>Q2+Q3</f>
        <v>1267584.075057419</v>
      </c>
    </row>
    <row r="5" spans="1:17" x14ac:dyDescent="0.25">
      <c r="H5" s="27"/>
    </row>
    <row r="6" spans="1:17" x14ac:dyDescent="0.25">
      <c r="H6" s="27"/>
    </row>
    <row r="7" spans="1:17" x14ac:dyDescent="0.25">
      <c r="A7" s="233" t="s">
        <v>135</v>
      </c>
      <c r="B7" s="234">
        <v>0.31</v>
      </c>
      <c r="H7" s="27"/>
    </row>
  </sheetData>
  <mergeCells count="3">
    <mergeCell ref="I1:J1"/>
    <mergeCell ref="L1:M1"/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CD3F-4D6D-4CFE-B4F4-CD1E1AEFFB15}">
  <dimension ref="A1:T35"/>
  <sheetViews>
    <sheetView showGridLines="0" tabSelected="1" zoomScale="70" zoomScaleNormal="70" workbookViewId="0">
      <selection activeCell="N14" sqref="N14"/>
    </sheetView>
  </sheetViews>
  <sheetFormatPr defaultRowHeight="17.25" x14ac:dyDescent="0.3"/>
  <cols>
    <col min="1" max="1" width="16" style="219" bestFit="1" customWidth="1"/>
    <col min="2" max="10" width="21.85546875" style="219" bestFit="1" customWidth="1"/>
    <col min="11" max="11" width="20.85546875" style="219" bestFit="1" customWidth="1"/>
    <col min="12" max="12" width="20.85546875" style="219" customWidth="1"/>
    <col min="13" max="13" width="22.42578125" style="219" customWidth="1"/>
    <col min="14" max="15" width="9.140625" style="219"/>
    <col min="16" max="16" width="13.85546875" style="219" bestFit="1" customWidth="1"/>
    <col min="17" max="17" width="9.140625" style="219"/>
    <col min="18" max="18" width="19.7109375" style="219" bestFit="1" customWidth="1"/>
    <col min="19" max="19" width="15.7109375" style="219" bestFit="1" customWidth="1"/>
    <col min="20" max="20" width="12.7109375" style="219" bestFit="1" customWidth="1"/>
    <col min="21" max="16384" width="9.140625" style="219"/>
  </cols>
  <sheetData>
    <row r="1" spans="1:13" ht="21" x14ac:dyDescent="0.35">
      <c r="A1" s="390" t="s">
        <v>159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2"/>
    </row>
    <row r="2" spans="1:13" ht="21" x14ac:dyDescent="0.35">
      <c r="A2" s="329" t="s">
        <v>123</v>
      </c>
      <c r="B2" s="231" t="s">
        <v>154</v>
      </c>
      <c r="C2" s="232">
        <f>ROUND('3.2_Tarifa_URBI.1.10'!G78,2)</f>
        <v>3.45</v>
      </c>
      <c r="L2" s="224"/>
      <c r="M2" s="330"/>
    </row>
    <row r="3" spans="1:13" s="229" customFormat="1" ht="21" x14ac:dyDescent="0.35">
      <c r="A3" s="331"/>
      <c r="B3" s="227"/>
      <c r="C3" s="228"/>
      <c r="L3" s="230"/>
      <c r="M3" s="332"/>
    </row>
    <row r="4" spans="1:13" ht="18.75" x14ac:dyDescent="0.3">
      <c r="A4" s="359" t="s">
        <v>160</v>
      </c>
      <c r="B4" s="360">
        <v>2023</v>
      </c>
      <c r="C4" s="360">
        <v>2024</v>
      </c>
      <c r="D4" s="360">
        <v>2025</v>
      </c>
      <c r="E4" s="360">
        <v>2026</v>
      </c>
      <c r="F4" s="360">
        <v>2027</v>
      </c>
      <c r="G4" s="360">
        <v>2028</v>
      </c>
      <c r="H4" s="360">
        <v>2029</v>
      </c>
      <c r="I4" s="360">
        <v>2030</v>
      </c>
      <c r="J4" s="360">
        <v>2031</v>
      </c>
      <c r="K4" s="360">
        <v>2032</v>
      </c>
      <c r="L4" s="360">
        <v>2033</v>
      </c>
      <c r="M4" s="330"/>
    </row>
    <row r="5" spans="1:13" ht="18.75" x14ac:dyDescent="0.3">
      <c r="A5" s="333" t="s">
        <v>97</v>
      </c>
      <c r="B5" s="358">
        <v>282363</v>
      </c>
      <c r="C5" s="224">
        <f t="shared" ref="C5:L5" si="0">B5*1.005</f>
        <v>283774.81499999994</v>
      </c>
      <c r="D5" s="224">
        <f t="shared" si="0"/>
        <v>285193.68907499989</v>
      </c>
      <c r="E5" s="224">
        <f t="shared" si="0"/>
        <v>286619.65752037487</v>
      </c>
      <c r="F5" s="224">
        <f t="shared" si="0"/>
        <v>288052.7558079767</v>
      </c>
      <c r="G5" s="224">
        <f t="shared" si="0"/>
        <v>289493.01958701655</v>
      </c>
      <c r="H5" s="224">
        <f t="shared" si="0"/>
        <v>290940.4846849516</v>
      </c>
      <c r="I5" s="224">
        <f t="shared" si="0"/>
        <v>292395.18710837635</v>
      </c>
      <c r="J5" s="224">
        <f t="shared" si="0"/>
        <v>293857.1630439182</v>
      </c>
      <c r="K5" s="224">
        <f t="shared" si="0"/>
        <v>295326.44885913777</v>
      </c>
      <c r="L5" s="224">
        <f t="shared" si="0"/>
        <v>296803.08110343345</v>
      </c>
      <c r="M5" s="330"/>
    </row>
    <row r="6" spans="1:13" ht="18.75" x14ac:dyDescent="0.3">
      <c r="A6" s="333" t="s">
        <v>157</v>
      </c>
      <c r="B6" s="222">
        <f t="shared" ref="B6:L6" si="1">B5*12</f>
        <v>3388356</v>
      </c>
      <c r="C6" s="221">
        <f t="shared" si="1"/>
        <v>3405297.7799999993</v>
      </c>
      <c r="D6" s="221">
        <f t="shared" si="1"/>
        <v>3422324.2688999986</v>
      </c>
      <c r="E6" s="221">
        <f t="shared" si="1"/>
        <v>3439435.8902444984</v>
      </c>
      <c r="F6" s="221">
        <f t="shared" si="1"/>
        <v>3456633.0696957204</v>
      </c>
      <c r="G6" s="221">
        <f t="shared" si="1"/>
        <v>3473916.2350441986</v>
      </c>
      <c r="H6" s="221">
        <f t="shared" si="1"/>
        <v>3491285.8162194192</v>
      </c>
      <c r="I6" s="221">
        <f t="shared" si="1"/>
        <v>3508742.2453005165</v>
      </c>
      <c r="J6" s="221">
        <f t="shared" si="1"/>
        <v>3526285.9565270185</v>
      </c>
      <c r="K6" s="221">
        <f t="shared" si="1"/>
        <v>3543917.3863096535</v>
      </c>
      <c r="L6" s="221">
        <f t="shared" si="1"/>
        <v>3561636.9732412016</v>
      </c>
      <c r="M6" s="334" t="s">
        <v>147</v>
      </c>
    </row>
    <row r="7" spans="1:13" ht="18.75" x14ac:dyDescent="0.3">
      <c r="A7" s="333" t="s">
        <v>158</v>
      </c>
      <c r="B7" s="225">
        <f>$C$2*B6</f>
        <v>11689828.200000001</v>
      </c>
      <c r="C7" s="225">
        <f>$C$2*C6</f>
        <v>11748277.340999998</v>
      </c>
      <c r="D7" s="225">
        <f>$C$2*D6</f>
        <v>11807018.727704996</v>
      </c>
      <c r="E7" s="225">
        <f t="shared" ref="E7:L7" si="2">$C$2*E6</f>
        <v>11866053.821343521</v>
      </c>
      <c r="F7" s="225">
        <f t="shared" si="2"/>
        <v>11925384.090450237</v>
      </c>
      <c r="G7" s="225">
        <f t="shared" si="2"/>
        <v>11985011.010902485</v>
      </c>
      <c r="H7" s="225">
        <f t="shared" si="2"/>
        <v>12044936.065956997</v>
      </c>
      <c r="I7" s="225">
        <f t="shared" si="2"/>
        <v>12105160.746286783</v>
      </c>
      <c r="J7" s="225">
        <f t="shared" si="2"/>
        <v>12165686.550018214</v>
      </c>
      <c r="K7" s="225">
        <f t="shared" si="2"/>
        <v>12226514.982768305</v>
      </c>
      <c r="L7" s="225">
        <f t="shared" si="2"/>
        <v>12287647.557682145</v>
      </c>
      <c r="M7" s="335">
        <f>SUM(B7:L7)</f>
        <v>131851519.09411366</v>
      </c>
    </row>
    <row r="8" spans="1:13" x14ac:dyDescent="0.3">
      <c r="A8" s="336"/>
      <c r="B8" s="225"/>
      <c r="C8" s="225"/>
      <c r="D8" s="225"/>
      <c r="E8" s="225"/>
      <c r="F8" s="225"/>
      <c r="G8" s="225"/>
      <c r="H8" s="225"/>
      <c r="I8" s="225"/>
      <c r="J8" s="225"/>
      <c r="K8" s="386" t="s">
        <v>155</v>
      </c>
      <c r="L8" s="386"/>
      <c r="M8" s="335">
        <f>0.005*M7</f>
        <v>659257.59547056828</v>
      </c>
    </row>
    <row r="9" spans="1:13" ht="18" thickBot="1" x14ac:dyDescent="0.35">
      <c r="A9" s="337"/>
      <c r="B9" s="338"/>
      <c r="C9" s="338"/>
      <c r="D9" s="338"/>
      <c r="E9" s="338"/>
      <c r="F9" s="338"/>
      <c r="G9" s="338"/>
      <c r="H9" s="338"/>
      <c r="I9" s="338"/>
      <c r="J9" s="338"/>
      <c r="K9" s="388" t="s">
        <v>156</v>
      </c>
      <c r="L9" s="388"/>
      <c r="M9" s="339">
        <f>0.02*M7</f>
        <v>2637030.3818822731</v>
      </c>
    </row>
    <row r="10" spans="1:13" x14ac:dyDescent="0.3"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6"/>
    </row>
    <row r="11" spans="1:13" x14ac:dyDescent="0.3"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6"/>
    </row>
    <row r="12" spans="1:13" ht="18" thickBot="1" x14ac:dyDescent="0.35"/>
    <row r="13" spans="1:13" ht="21" x14ac:dyDescent="0.35">
      <c r="A13" s="390" t="s">
        <v>161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2"/>
    </row>
    <row r="14" spans="1:13" ht="21" x14ac:dyDescent="0.35">
      <c r="A14" s="329" t="s">
        <v>124</v>
      </c>
      <c r="B14" s="231" t="s">
        <v>154</v>
      </c>
      <c r="C14" s="232">
        <f>ROUND('3.1_Tarifa_SUI.1.10'!G79,2)</f>
        <v>3.38</v>
      </c>
      <c r="L14" s="224"/>
      <c r="M14" s="330"/>
    </row>
    <row r="15" spans="1:13" s="229" customFormat="1" ht="21" x14ac:dyDescent="0.35">
      <c r="A15" s="331"/>
      <c r="B15" s="227"/>
      <c r="C15" s="228"/>
      <c r="L15" s="230"/>
      <c r="M15" s="332"/>
    </row>
    <row r="16" spans="1:13" ht="18.75" x14ac:dyDescent="0.3">
      <c r="A16" s="361" t="s">
        <v>160</v>
      </c>
      <c r="B16" s="360">
        <v>2023</v>
      </c>
      <c r="C16" s="360">
        <v>2024</v>
      </c>
      <c r="D16" s="360">
        <v>2025</v>
      </c>
      <c r="E16" s="360">
        <v>2026</v>
      </c>
      <c r="F16" s="360">
        <v>2027</v>
      </c>
      <c r="G16" s="360">
        <v>2028</v>
      </c>
      <c r="H16" s="360">
        <v>2029</v>
      </c>
      <c r="I16" s="360">
        <v>2030</v>
      </c>
      <c r="J16" s="360">
        <v>2031</v>
      </c>
      <c r="K16" s="360">
        <v>2032</v>
      </c>
      <c r="L16" s="360">
        <v>2033</v>
      </c>
      <c r="M16" s="330"/>
    </row>
    <row r="17" spans="1:13" ht="18.75" x14ac:dyDescent="0.3">
      <c r="A17" s="333" t="s">
        <v>97</v>
      </c>
      <c r="B17" s="223">
        <v>87017.277426082015</v>
      </c>
      <c r="C17" s="224">
        <f>C18/12</f>
        <v>87217.416666666672</v>
      </c>
      <c r="D17" s="224">
        <f>D18/12</f>
        <v>90322.833333333328</v>
      </c>
      <c r="E17" s="224">
        <f t="shared" ref="E17:L17" si="3">E18/12</f>
        <v>88666.333333333328</v>
      </c>
      <c r="F17" s="224">
        <f t="shared" si="3"/>
        <v>89240.333333333328</v>
      </c>
      <c r="G17" s="224">
        <f t="shared" si="3"/>
        <v>91136.833333333328</v>
      </c>
      <c r="H17" s="224">
        <f t="shared" si="3"/>
        <v>90289.583333333328</v>
      </c>
      <c r="I17" s="224">
        <f t="shared" si="3"/>
        <v>90987.333333333328</v>
      </c>
      <c r="J17" s="224">
        <f t="shared" si="3"/>
        <v>92206.916666666672</v>
      </c>
      <c r="K17" s="224">
        <f t="shared" si="3"/>
        <v>91880.25</v>
      </c>
      <c r="L17" s="224">
        <f t="shared" si="3"/>
        <v>92582.75</v>
      </c>
      <c r="M17" s="330"/>
    </row>
    <row r="18" spans="1:13" ht="18.75" x14ac:dyDescent="0.3">
      <c r="A18" s="333" t="s">
        <v>157</v>
      </c>
      <c r="B18" s="222">
        <f t="shared" ref="B18" si="4">B17*12</f>
        <v>1044207.3291129842</v>
      </c>
      <c r="C18" s="221">
        <v>1046609</v>
      </c>
      <c r="D18" s="221">
        <v>1083874</v>
      </c>
      <c r="E18" s="221">
        <v>1063996</v>
      </c>
      <c r="F18" s="221">
        <v>1070884</v>
      </c>
      <c r="G18" s="221">
        <v>1093642</v>
      </c>
      <c r="H18" s="221">
        <v>1083475</v>
      </c>
      <c r="I18" s="221">
        <v>1091848</v>
      </c>
      <c r="J18" s="221">
        <v>1106483</v>
      </c>
      <c r="K18" s="221">
        <v>1102563</v>
      </c>
      <c r="L18" s="221">
        <v>1110993</v>
      </c>
      <c r="M18" s="334" t="s">
        <v>147</v>
      </c>
    </row>
    <row r="19" spans="1:13" ht="18.75" x14ac:dyDescent="0.3">
      <c r="A19" s="333" t="s">
        <v>158</v>
      </c>
      <c r="B19" s="225">
        <f t="shared" ref="B19:L19" si="5">$C$14*B18</f>
        <v>3529420.7724018865</v>
      </c>
      <c r="C19" s="225">
        <f t="shared" si="5"/>
        <v>3537538.42</v>
      </c>
      <c r="D19" s="225">
        <f t="shared" si="5"/>
        <v>3663494.12</v>
      </c>
      <c r="E19" s="225">
        <f t="shared" si="5"/>
        <v>3596306.48</v>
      </c>
      <c r="F19" s="225">
        <f t="shared" si="5"/>
        <v>3619587.92</v>
      </c>
      <c r="G19" s="225">
        <f t="shared" si="5"/>
        <v>3696509.96</v>
      </c>
      <c r="H19" s="225">
        <f t="shared" si="5"/>
        <v>3662145.5</v>
      </c>
      <c r="I19" s="225">
        <f t="shared" si="5"/>
        <v>3690446.2399999998</v>
      </c>
      <c r="J19" s="225">
        <f t="shared" si="5"/>
        <v>3739912.54</v>
      </c>
      <c r="K19" s="225">
        <f t="shared" si="5"/>
        <v>3726662.94</v>
      </c>
      <c r="L19" s="225">
        <f t="shared" si="5"/>
        <v>3755156.34</v>
      </c>
      <c r="M19" s="335">
        <f>SUM(B19:L19)</f>
        <v>40217181.232401893</v>
      </c>
    </row>
    <row r="20" spans="1:13" x14ac:dyDescent="0.3">
      <c r="A20" s="336"/>
      <c r="B20" s="225"/>
      <c r="C20" s="225"/>
      <c r="D20" s="225"/>
      <c r="E20" s="225"/>
      <c r="F20" s="225"/>
      <c r="G20" s="225"/>
      <c r="H20" s="225"/>
      <c r="I20" s="225"/>
      <c r="J20" s="225"/>
      <c r="K20" s="386" t="s">
        <v>155</v>
      </c>
      <c r="L20" s="387"/>
      <c r="M20" s="335">
        <f>0.005*M19</f>
        <v>201085.90616200946</v>
      </c>
    </row>
    <row r="21" spans="1:13" ht="18" thickBot="1" x14ac:dyDescent="0.35">
      <c r="A21" s="337"/>
      <c r="B21" s="338"/>
      <c r="C21" s="338"/>
      <c r="D21" s="338"/>
      <c r="E21" s="338"/>
      <c r="F21" s="338"/>
      <c r="G21" s="338"/>
      <c r="H21" s="338"/>
      <c r="I21" s="338"/>
      <c r="J21" s="338"/>
      <c r="K21" s="388" t="s">
        <v>156</v>
      </c>
      <c r="L21" s="389"/>
      <c r="M21" s="339">
        <f>0.02*M19</f>
        <v>804343.62464803783</v>
      </c>
    </row>
    <row r="35" spans="18:20" x14ac:dyDescent="0.3">
      <c r="R35" s="220"/>
      <c r="S35" s="220"/>
      <c r="T35" s="220"/>
    </row>
  </sheetData>
  <mergeCells count="6">
    <mergeCell ref="K20:L20"/>
    <mergeCell ref="K21:L21"/>
    <mergeCell ref="A1:M1"/>
    <mergeCell ref="A13:M13"/>
    <mergeCell ref="K8:L8"/>
    <mergeCell ref="K9:L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1_Demanda</vt:lpstr>
      <vt:lpstr>2.1_Dados_SUI.1</vt:lpstr>
      <vt:lpstr>2.2_Dados_URBI.1</vt:lpstr>
      <vt:lpstr>3.1_Tarifa_SUI.1.10</vt:lpstr>
      <vt:lpstr>3.2_Tarifa_URBI.1.10</vt:lpstr>
      <vt:lpstr>4.Tarifa_Pública_Final</vt:lpstr>
      <vt:lpstr>5.Receitas_Estimadas</vt:lpstr>
      <vt:lpstr>'3.1_Tarifa_SUI.1.10'!Area_de_impressao</vt:lpstr>
      <vt:lpstr>'3.2_Tarifa_URBI.1.10'!Area_de_impressao</vt:lpstr>
      <vt:lpstr>'3.1_Tarifa_SUI.1.10'!Print_Area</vt:lpstr>
      <vt:lpstr>'3.2_Tarifa_URBI.1.10'!Print_Area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mario.monteiro</dc:creator>
  <cp:lastModifiedBy>leticiae</cp:lastModifiedBy>
  <cp:lastPrinted>2023-06-13T18:29:02Z</cp:lastPrinted>
  <dcterms:created xsi:type="dcterms:W3CDTF">2014-02-07T14:12:49Z</dcterms:created>
  <dcterms:modified xsi:type="dcterms:W3CDTF">2023-10-26T18:18:02Z</dcterms:modified>
</cp:coreProperties>
</file>